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6B56063E-17B9-4A41-ACC7-B09D52BC3FB6}" xr6:coauthVersionLast="47" xr6:coauthVersionMax="47" xr10:uidLastSave="{00000000-0000-0000-0000-000000000000}"/>
  <bookViews>
    <workbookView xWindow="19090" yWindow="-110" windowWidth="29020" windowHeight="15820" tabRatio="815" firstSheet="7" activeTab="18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PV SUPPLY DATA" sheetId="3" r:id="rId4"/>
    <sheet name="ESS SUPPLY DATA" sheetId="70" r:id="rId5"/>
    <sheet name="New Ark data" sheetId="137" r:id="rId6"/>
    <sheet name="Carole - Sales Requests" sheetId="66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4" hidden="1">'ESS SUPPLY DATA'!$U$287:$U$287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3" hidden="1">'PV SUPPLY DATA'!$AC$1252:$AC$1252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Stock'!$A$1:$V$170</definedName>
    <definedName name="ExternalData_2" localSheetId="17" hidden="1">'PO Check'!$A$1:$P$1197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24" r:id="rId21"/>
    <pivotCache cacheId="36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0" i="70" l="1" a="1"/>
  <c r="F190" i="70" s="1"/>
  <c r="F189" i="70" a="1"/>
  <c r="F189" i="70" s="1"/>
  <c r="F188" i="70" a="1"/>
  <c r="F188" i="70" s="1"/>
  <c r="E42" i="47"/>
  <c r="F187" i="70" a="1"/>
  <c r="F187" i="70" s="1"/>
  <c r="U1178" i="3"/>
  <c r="W1178" i="3" s="1"/>
  <c r="U1177" i="3"/>
  <c r="F1178" i="3" a="1"/>
  <c r="F1178" i="3" s="1"/>
  <c r="AX1178" i="3"/>
  <c r="AY1178" i="3" s="1"/>
  <c r="AN1178" i="3"/>
  <c r="AJ1178" i="3"/>
  <c r="AK1178" i="3"/>
  <c r="BH1178" i="3"/>
  <c r="BG1178" i="3"/>
  <c r="BF1178" i="3"/>
  <c r="BE1178" i="3"/>
  <c r="AC1178" i="3"/>
  <c r="V1178" i="3"/>
  <c r="S1178" i="3"/>
  <c r="R1178" i="3"/>
  <c r="C1178" i="3"/>
  <c r="U1233" i="3"/>
  <c r="W1233" i="3" s="1"/>
  <c r="U1232" i="3"/>
  <c r="U1072" i="3"/>
  <c r="AX1036" i="3"/>
  <c r="AY1036" i="3" s="1"/>
  <c r="AX1190" i="3"/>
  <c r="AY1190" i="3" s="1"/>
  <c r="AX1187" i="3"/>
  <c r="AY1187" i="3" s="1"/>
  <c r="AX1182" i="3"/>
  <c r="AY1182" i="3" s="1"/>
  <c r="U227" i="70"/>
  <c r="U228" i="70"/>
  <c r="U229" i="70"/>
  <c r="U226" i="70"/>
  <c r="AC1224" i="3"/>
  <c r="AC1033" i="3"/>
  <c r="AC1034" i="3"/>
  <c r="AC1035" i="3"/>
  <c r="BC230" i="70"/>
  <c r="AV230" i="70"/>
  <c r="AW230" i="70" s="1"/>
  <c r="AS230" i="70"/>
  <c r="AA230" i="70"/>
  <c r="X230" i="70"/>
  <c r="C230" i="70"/>
  <c r="AK1035" i="3"/>
  <c r="AM1035" i="3"/>
  <c r="AN1035" i="3"/>
  <c r="F1074" i="3" a="1"/>
  <c r="F1074" i="3" s="1"/>
  <c r="AX1074" i="3"/>
  <c r="AY1074" i="3" s="1"/>
  <c r="AN1074" i="3"/>
  <c r="AK1074" i="3"/>
  <c r="BH1074" i="3"/>
  <c r="BG1074" i="3"/>
  <c r="BF1074" i="3"/>
  <c r="BE1074" i="3"/>
  <c r="AZ1074" i="3"/>
  <c r="AC1074" i="3"/>
  <c r="V1074" i="3"/>
  <c r="S1074" i="3"/>
  <c r="R1074" i="3"/>
  <c r="C1074" i="3"/>
  <c r="F1067" i="3" a="1"/>
  <c r="F1067" i="3" s="1"/>
  <c r="AX1067" i="3"/>
  <c r="AY1067" i="3" s="1"/>
  <c r="AN1067" i="3"/>
  <c r="AK1067" i="3"/>
  <c r="BH1067" i="3"/>
  <c r="BG1067" i="3"/>
  <c r="BF1067" i="3"/>
  <c r="BE1067" i="3"/>
  <c r="AZ1067" i="3"/>
  <c r="AC1067" i="3"/>
  <c r="V1067" i="3"/>
  <c r="S1067" i="3"/>
  <c r="R1067" i="3"/>
  <c r="C1067" i="3"/>
  <c r="F1060" i="3" a="1"/>
  <c r="F1060" i="3" s="1"/>
  <c r="AX1060" i="3"/>
  <c r="AY1060" i="3" s="1"/>
  <c r="BH1060" i="3"/>
  <c r="BG1060" i="3"/>
  <c r="BF1060" i="3"/>
  <c r="BE1060" i="3"/>
  <c r="W1060" i="3" s="1"/>
  <c r="AC1060" i="3"/>
  <c r="Z1060" i="3"/>
  <c r="V1060" i="3"/>
  <c r="S1060" i="3"/>
  <c r="R1060" i="3"/>
  <c r="C1060" i="3"/>
  <c r="F1059" i="3" a="1"/>
  <c r="F1059" i="3" s="1"/>
  <c r="AX1059" i="3"/>
  <c r="AY1059" i="3" s="1"/>
  <c r="BH1059" i="3"/>
  <c r="BG1059" i="3"/>
  <c r="BF1059" i="3"/>
  <c r="X1059" i="3" s="1"/>
  <c r="BE1059" i="3"/>
  <c r="W1059" i="3" s="1"/>
  <c r="AC1059" i="3"/>
  <c r="Z1059" i="3"/>
  <c r="V1059" i="3"/>
  <c r="S1059" i="3"/>
  <c r="R1059" i="3"/>
  <c r="C1059" i="3"/>
  <c r="Z1187" i="3"/>
  <c r="V1187" i="3"/>
  <c r="F1187" i="3" a="1"/>
  <c r="F1187" i="3" s="1"/>
  <c r="C1187" i="3"/>
  <c r="R1187" i="3"/>
  <c r="S1187" i="3"/>
  <c r="AC1187" i="3"/>
  <c r="AZ1187" i="3"/>
  <c r="BE1187" i="3"/>
  <c r="W1187" i="3" s="1"/>
  <c r="BF1187" i="3"/>
  <c r="X1187" i="3" s="1"/>
  <c r="BG1187" i="3"/>
  <c r="BH1187" i="3"/>
  <c r="F1050" i="3" a="1"/>
  <c r="F1050" i="3" s="1"/>
  <c r="V1183" i="3"/>
  <c r="Z1183" i="3"/>
  <c r="AC1183" i="3"/>
  <c r="U1184" i="3"/>
  <c r="V1184" i="3" s="1"/>
  <c r="Z1184" i="3"/>
  <c r="AC1184" i="3"/>
  <c r="U1166" i="3"/>
  <c r="F1166" i="3" a="1"/>
  <c r="F1166" i="3" s="1"/>
  <c r="AX1166" i="3"/>
  <c r="AY1166" i="3" s="1"/>
  <c r="AM1166" i="3"/>
  <c r="AN1166" i="3"/>
  <c r="AJ1166" i="3"/>
  <c r="AK1166" i="3"/>
  <c r="BH1166" i="3"/>
  <c r="BG1166" i="3"/>
  <c r="BF1166" i="3"/>
  <c r="BE1166" i="3"/>
  <c r="AZ1166" i="3"/>
  <c r="AC1166" i="3"/>
  <c r="S1166" i="3"/>
  <c r="R1166" i="3"/>
  <c r="C1166" i="3"/>
  <c r="U1165" i="3"/>
  <c r="U1018" i="3"/>
  <c r="U1046" i="3"/>
  <c r="AM1046" i="3"/>
  <c r="AJ1046" i="3"/>
  <c r="W7" i="122"/>
  <c r="F1224" i="3" a="1"/>
  <c r="F1224" i="3" s="1"/>
  <c r="AX1224" i="3"/>
  <c r="AY1224" i="3" s="1"/>
  <c r="AK1224" i="3"/>
  <c r="AU1224" i="3" s="1"/>
  <c r="BH1224" i="3"/>
  <c r="BG1224" i="3"/>
  <c r="BF1224" i="3"/>
  <c r="X1224" i="3" s="1"/>
  <c r="BE1224" i="3"/>
  <c r="W1224" i="3" s="1"/>
  <c r="V1224" i="3"/>
  <c r="S1224" i="3"/>
  <c r="R1224" i="3"/>
  <c r="C1224" i="3"/>
  <c r="E27" i="47"/>
  <c r="V1077" i="3"/>
  <c r="F1077" i="3" a="1"/>
  <c r="F1077" i="3" s="1"/>
  <c r="AX1077" i="3"/>
  <c r="AY1077" i="3" s="1"/>
  <c r="AN1077" i="3"/>
  <c r="AK1077" i="3"/>
  <c r="BH1077" i="3"/>
  <c r="BG1077" i="3"/>
  <c r="BF1077" i="3"/>
  <c r="BE1077" i="3"/>
  <c r="AZ1077" i="3"/>
  <c r="AC1077" i="3"/>
  <c r="S1077" i="3"/>
  <c r="R1077" i="3"/>
  <c r="C1077" i="3"/>
  <c r="W1070" i="3"/>
  <c r="F1070" i="3" a="1"/>
  <c r="F1070" i="3" s="1"/>
  <c r="AX1070" i="3"/>
  <c r="AY1070" i="3" s="1"/>
  <c r="AN1070" i="3"/>
  <c r="AK1070" i="3"/>
  <c r="BH1070" i="3"/>
  <c r="BG1070" i="3"/>
  <c r="BF1070" i="3"/>
  <c r="BE1070" i="3"/>
  <c r="AZ1070" i="3"/>
  <c r="AC1070" i="3"/>
  <c r="V1070" i="3"/>
  <c r="S1070" i="3"/>
  <c r="R1070" i="3"/>
  <c r="C1070" i="3"/>
  <c r="F1201" i="3" a="1"/>
  <c r="F1201" i="3" s="1"/>
  <c r="AX1201" i="3"/>
  <c r="AY1201" i="3" s="1"/>
  <c r="AN1201" i="3"/>
  <c r="AJ1201" i="3"/>
  <c r="AK1201" i="3"/>
  <c r="BH1201" i="3"/>
  <c r="BG1201" i="3"/>
  <c r="BF1201" i="3"/>
  <c r="X1201" i="3" s="1"/>
  <c r="BE1201" i="3"/>
  <c r="W1201" i="3" s="1"/>
  <c r="AC1201" i="3"/>
  <c r="V1201" i="3"/>
  <c r="S1201" i="3"/>
  <c r="R1201" i="3"/>
  <c r="C1201" i="3"/>
  <c r="U1069" i="3"/>
  <c r="V1069" i="3" s="1"/>
  <c r="U1068" i="3"/>
  <c r="W1068" i="3" s="1"/>
  <c r="U1065" i="3"/>
  <c r="F1069" i="3" a="1"/>
  <c r="F1069" i="3" s="1"/>
  <c r="F1068" i="3" a="1"/>
  <c r="F1068" i="3" s="1"/>
  <c r="AK1068" i="3"/>
  <c r="AN1068" i="3"/>
  <c r="AX1068" i="3"/>
  <c r="AY1068" i="3" s="1"/>
  <c r="AK1069" i="3"/>
  <c r="AN1069" i="3"/>
  <c r="AX1069" i="3"/>
  <c r="AY1069" i="3" s="1"/>
  <c r="BH1068" i="3"/>
  <c r="BH1069" i="3"/>
  <c r="BG1068" i="3"/>
  <c r="BG1069" i="3"/>
  <c r="BF1068" i="3"/>
  <c r="BF1069" i="3"/>
  <c r="BE1068" i="3"/>
  <c r="BE1069" i="3"/>
  <c r="AZ1068" i="3"/>
  <c r="AZ1069" i="3"/>
  <c r="AC1068" i="3"/>
  <c r="AC1069" i="3"/>
  <c r="S1068" i="3"/>
  <c r="S1069" i="3"/>
  <c r="R1068" i="3"/>
  <c r="R1069" i="3"/>
  <c r="C1068" i="3"/>
  <c r="C1069" i="3"/>
  <c r="BH1076" i="3"/>
  <c r="BG1076" i="3"/>
  <c r="BF1076" i="3"/>
  <c r="BE1076" i="3"/>
  <c r="AZ1076" i="3"/>
  <c r="AX1076" i="3"/>
  <c r="AY1076" i="3" s="1"/>
  <c r="AN1076" i="3"/>
  <c r="AK1076" i="3"/>
  <c r="AC1076" i="3"/>
  <c r="S1076" i="3"/>
  <c r="R1076" i="3"/>
  <c r="F1076" i="3" a="1"/>
  <c r="F1076" i="3" s="1"/>
  <c r="C1076" i="3"/>
  <c r="BH1075" i="3"/>
  <c r="BG1075" i="3"/>
  <c r="BF1075" i="3"/>
  <c r="BE1075" i="3"/>
  <c r="AZ1075" i="3"/>
  <c r="AX1075" i="3"/>
  <c r="AY1075" i="3" s="1"/>
  <c r="AN1075" i="3"/>
  <c r="AK1075" i="3"/>
  <c r="AC1075" i="3"/>
  <c r="S1075" i="3"/>
  <c r="R1075" i="3"/>
  <c r="F1075" i="3" a="1"/>
  <c r="F1075" i="3" s="1"/>
  <c r="C1075" i="3"/>
  <c r="F1071" i="3" a="1"/>
  <c r="F1071" i="3" s="1"/>
  <c r="BH1071" i="3"/>
  <c r="BG1071" i="3"/>
  <c r="BF1071" i="3"/>
  <c r="BE1071" i="3"/>
  <c r="AX1071" i="3"/>
  <c r="AY1071" i="3" s="1"/>
  <c r="AN1071" i="3"/>
  <c r="AK1071" i="3"/>
  <c r="AC1071" i="3"/>
  <c r="S1071" i="3"/>
  <c r="R1071" i="3"/>
  <c r="C1071" i="3"/>
  <c r="F1062" i="3" a="1"/>
  <c r="F1062" i="3" s="1"/>
  <c r="BH1062" i="3"/>
  <c r="BG1062" i="3"/>
  <c r="BF1062" i="3"/>
  <c r="BE1062" i="3"/>
  <c r="AX1062" i="3"/>
  <c r="AY1062" i="3" s="1"/>
  <c r="AN1062" i="3"/>
  <c r="AK1062" i="3"/>
  <c r="AC1062" i="3"/>
  <c r="S1062" i="3"/>
  <c r="R1062" i="3"/>
  <c r="C1062" i="3"/>
  <c r="AK1050" i="3"/>
  <c r="AM1050" i="3"/>
  <c r="AN1050" i="3"/>
  <c r="AJ1051" i="3"/>
  <c r="AK1051" i="3"/>
  <c r="AN1051" i="3"/>
  <c r="U1050" i="3"/>
  <c r="V1050" i="3" s="1"/>
  <c r="BH1032" i="3"/>
  <c r="BG1032" i="3"/>
  <c r="BF1032" i="3"/>
  <c r="BE1032" i="3"/>
  <c r="AZ1032" i="3"/>
  <c r="AX1032" i="3"/>
  <c r="AY1032" i="3" s="1"/>
  <c r="AU1032" i="3"/>
  <c r="AC1032" i="3"/>
  <c r="U1032" i="3"/>
  <c r="S1032" i="3"/>
  <c r="R1032" i="3"/>
  <c r="F1032" i="3" a="1"/>
  <c r="F1032" i="3" s="1"/>
  <c r="C1032" i="3"/>
  <c r="U1228" i="3"/>
  <c r="V1228" i="3" s="1"/>
  <c r="U1202" i="3"/>
  <c r="U1120" i="3"/>
  <c r="F1063" i="3" a="1"/>
  <c r="F1063" i="3" s="1"/>
  <c r="AX1043" i="3"/>
  <c r="AY1043" i="3" s="1"/>
  <c r="AX1063" i="3"/>
  <c r="AY1063" i="3" s="1"/>
  <c r="R1063" i="3"/>
  <c r="BH1063" i="3"/>
  <c r="BG1063" i="3"/>
  <c r="BF1063" i="3"/>
  <c r="BE1063" i="3"/>
  <c r="AC1063" i="3"/>
  <c r="Z1063" i="3"/>
  <c r="S1063" i="3"/>
  <c r="C1063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3" i="3"/>
  <c r="F1150" i="3" a="1"/>
  <c r="F1150" i="3" s="1"/>
  <c r="F1149" i="3" a="1"/>
  <c r="F1149" i="3" s="1"/>
  <c r="AJ1149" i="3"/>
  <c r="AK1149" i="3"/>
  <c r="AU1149" i="3" s="1"/>
  <c r="AX1149" i="3"/>
  <c r="AY1149" i="3" s="1"/>
  <c r="AJ1150" i="3"/>
  <c r="AK1150" i="3"/>
  <c r="AU1150" i="3"/>
  <c r="AX1150" i="3"/>
  <c r="AY1150" i="3" s="1"/>
  <c r="BH1149" i="3"/>
  <c r="BG1149" i="3"/>
  <c r="BF1149" i="3"/>
  <c r="X1149" i="3" s="1"/>
  <c r="BE1149" i="3"/>
  <c r="W1149" i="3" s="1"/>
  <c r="V1149" i="3"/>
  <c r="S1149" i="3"/>
  <c r="R1149" i="3"/>
  <c r="C1149" i="3"/>
  <c r="BH1150" i="3"/>
  <c r="BG1150" i="3"/>
  <c r="BF1150" i="3"/>
  <c r="X1150" i="3" s="1"/>
  <c r="BE1150" i="3"/>
  <c r="W1150" i="3" s="1"/>
  <c r="V1150" i="3"/>
  <c r="S1150" i="3"/>
  <c r="R1150" i="3"/>
  <c r="C1150" i="3"/>
  <c r="U1026" i="3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1" i="70"/>
  <c r="U272" i="70"/>
  <c r="U270" i="70"/>
  <c r="U269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68" i="70"/>
  <c r="U253" i="70"/>
  <c r="U254" i="70"/>
  <c r="U248" i="70"/>
  <c r="U249" i="70"/>
  <c r="U250" i="70"/>
  <c r="U251" i="70"/>
  <c r="U252" i="70"/>
  <c r="U247" i="70"/>
  <c r="U245" i="70"/>
  <c r="U246" i="70"/>
  <c r="U244" i="70"/>
  <c r="U241" i="70"/>
  <c r="U242" i="70"/>
  <c r="U243" i="70"/>
  <c r="U240" i="70"/>
  <c r="U232" i="70"/>
  <c r="U233" i="70"/>
  <c r="U234" i="70"/>
  <c r="U235" i="70"/>
  <c r="U236" i="70"/>
  <c r="U237" i="70"/>
  <c r="U238" i="70"/>
  <c r="U239" i="70"/>
  <c r="U231" i="70"/>
  <c r="C266" i="70"/>
  <c r="C267" i="70"/>
  <c r="X266" i="70"/>
  <c r="X267" i="70"/>
  <c r="AA266" i="70"/>
  <c r="AA267" i="70"/>
  <c r="AS266" i="70"/>
  <c r="AS267" i="70"/>
  <c r="AV266" i="70"/>
  <c r="AV267" i="70"/>
  <c r="AW266" i="70"/>
  <c r="AW267" i="70"/>
  <c r="BC266" i="70"/>
  <c r="BC267" i="70"/>
  <c r="C268" i="70"/>
  <c r="C269" i="70"/>
  <c r="X268" i="70"/>
  <c r="X269" i="70"/>
  <c r="AA268" i="70"/>
  <c r="AA269" i="70"/>
  <c r="AS268" i="70"/>
  <c r="AS269" i="70"/>
  <c r="AV268" i="70"/>
  <c r="AV269" i="70"/>
  <c r="AW268" i="70"/>
  <c r="AW269" i="70"/>
  <c r="BC268" i="70"/>
  <c r="BC269" i="70"/>
  <c r="C270" i="70"/>
  <c r="C271" i="70"/>
  <c r="X270" i="70"/>
  <c r="X271" i="70"/>
  <c r="AA270" i="70"/>
  <c r="AA271" i="70"/>
  <c r="AS270" i="70"/>
  <c r="AS271" i="70"/>
  <c r="AV270" i="70"/>
  <c r="AV271" i="70"/>
  <c r="AW270" i="70"/>
  <c r="AW271" i="70"/>
  <c r="BC270" i="70"/>
  <c r="BC271" i="70"/>
  <c r="C263" i="70"/>
  <c r="C264" i="70"/>
  <c r="C265" i="70"/>
  <c r="X263" i="70"/>
  <c r="X264" i="70"/>
  <c r="X265" i="70"/>
  <c r="AA263" i="70"/>
  <c r="AA264" i="70"/>
  <c r="AA265" i="70"/>
  <c r="AS263" i="70"/>
  <c r="AS264" i="70"/>
  <c r="AS265" i="70"/>
  <c r="AV263" i="70"/>
  <c r="AV264" i="70"/>
  <c r="AV265" i="70"/>
  <c r="AW263" i="70"/>
  <c r="AW264" i="70"/>
  <c r="AW265" i="70"/>
  <c r="BC263" i="70"/>
  <c r="BC264" i="70"/>
  <c r="BC265" i="70"/>
  <c r="BC259" i="70"/>
  <c r="BC260" i="70"/>
  <c r="BC261" i="70"/>
  <c r="AV259" i="70"/>
  <c r="AW259" i="70" s="1"/>
  <c r="AV260" i="70"/>
  <c r="AW260" i="70" s="1"/>
  <c r="AV261" i="70"/>
  <c r="AW261" i="70" s="1"/>
  <c r="AS259" i="70"/>
  <c r="AS260" i="70"/>
  <c r="AS261" i="70"/>
  <c r="AA259" i="70"/>
  <c r="AA260" i="70"/>
  <c r="AA261" i="70"/>
  <c r="X259" i="70"/>
  <c r="X260" i="70"/>
  <c r="X261" i="70"/>
  <c r="C259" i="70"/>
  <c r="C260" i="70"/>
  <c r="C261" i="70"/>
  <c r="BC273" i="70"/>
  <c r="AV273" i="70"/>
  <c r="AW273" i="70" s="1"/>
  <c r="AS273" i="70"/>
  <c r="AA273" i="70"/>
  <c r="X273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58" i="70"/>
  <c r="X258" i="70"/>
  <c r="AA258" i="70"/>
  <c r="AS258" i="70"/>
  <c r="AV258" i="70"/>
  <c r="AW258" i="70"/>
  <c r="BC258" i="70"/>
  <c r="C262" i="70"/>
  <c r="X262" i="70"/>
  <c r="AA262" i="70"/>
  <c r="AS262" i="70"/>
  <c r="AV262" i="70"/>
  <c r="AW262" i="70"/>
  <c r="BC262" i="70"/>
  <c r="C272" i="70"/>
  <c r="X272" i="70"/>
  <c r="AA272" i="70"/>
  <c r="AS272" i="70"/>
  <c r="AV272" i="70"/>
  <c r="AW272" i="70"/>
  <c r="BC272" i="70"/>
  <c r="BC254" i="70"/>
  <c r="AV254" i="70"/>
  <c r="AW254" i="70" s="1"/>
  <c r="AS254" i="70"/>
  <c r="AA254" i="70"/>
  <c r="X254" i="70"/>
  <c r="C254" i="70"/>
  <c r="BC253" i="70"/>
  <c r="AV253" i="70"/>
  <c r="AW253" i="70" s="1"/>
  <c r="AS253" i="70"/>
  <c r="AA253" i="70"/>
  <c r="X253" i="70"/>
  <c r="C253" i="70"/>
  <c r="C255" i="70"/>
  <c r="X255" i="70"/>
  <c r="AA255" i="70"/>
  <c r="AS255" i="70"/>
  <c r="AV255" i="70"/>
  <c r="AW255" i="70"/>
  <c r="BC255" i="70"/>
  <c r="X274" i="70"/>
  <c r="AA274" i="70"/>
  <c r="AS274" i="70"/>
  <c r="AV274" i="70"/>
  <c r="AW274" i="70"/>
  <c r="BC274" i="70"/>
  <c r="F1127" i="3" a="1"/>
  <c r="F1127" i="3" s="1"/>
  <c r="AX1127" i="3"/>
  <c r="AY1127" i="3" s="1"/>
  <c r="AN1127" i="3"/>
  <c r="AK1127" i="3"/>
  <c r="BH1127" i="3"/>
  <c r="BG1127" i="3"/>
  <c r="BF1127" i="3"/>
  <c r="BE1127" i="3"/>
  <c r="W1127" i="3" s="1"/>
  <c r="AC1127" i="3"/>
  <c r="V1127" i="3"/>
  <c r="S1127" i="3"/>
  <c r="R1127" i="3"/>
  <c r="C1127" i="3"/>
  <c r="C247" i="70"/>
  <c r="C248" i="70"/>
  <c r="X247" i="70"/>
  <c r="X248" i="70"/>
  <c r="AA247" i="70"/>
  <c r="AA248" i="70"/>
  <c r="AS247" i="70"/>
  <c r="AS248" i="70"/>
  <c r="AV247" i="70"/>
  <c r="AV248" i="70"/>
  <c r="AW247" i="70"/>
  <c r="AW248" i="70"/>
  <c r="BC247" i="70"/>
  <c r="BC248" i="70"/>
  <c r="C249" i="70"/>
  <c r="C250" i="70"/>
  <c r="C251" i="70"/>
  <c r="X249" i="70"/>
  <c r="X250" i="70"/>
  <c r="X251" i="70"/>
  <c r="AA249" i="70"/>
  <c r="AA250" i="70"/>
  <c r="AA251" i="70"/>
  <c r="AS249" i="70"/>
  <c r="AS250" i="70"/>
  <c r="AS251" i="70"/>
  <c r="AV249" i="70"/>
  <c r="AV250" i="70"/>
  <c r="AV251" i="70"/>
  <c r="AW249" i="70"/>
  <c r="AW250" i="70"/>
  <c r="AW251" i="70"/>
  <c r="BC249" i="70"/>
  <c r="BC250" i="70"/>
  <c r="BC251" i="70"/>
  <c r="C252" i="70"/>
  <c r="X252" i="70"/>
  <c r="AA252" i="70"/>
  <c r="AS252" i="70"/>
  <c r="AV252" i="70"/>
  <c r="AW252" i="70"/>
  <c r="BC252" i="70"/>
  <c r="T139" i="122"/>
  <c r="Q119" i="122"/>
  <c r="F1176" i="3" a="1"/>
  <c r="F1176" i="3" s="1"/>
  <c r="AX1176" i="3"/>
  <c r="AY1176" i="3" s="1"/>
  <c r="AN1176" i="3"/>
  <c r="AK1176" i="3"/>
  <c r="BH1176" i="3"/>
  <c r="BG1176" i="3"/>
  <c r="BF1176" i="3"/>
  <c r="BE1176" i="3"/>
  <c r="AC1176" i="3"/>
  <c r="V1176" i="3"/>
  <c r="S1176" i="3"/>
  <c r="R1176" i="3"/>
  <c r="C1176" i="3"/>
  <c r="F1058" i="3" a="1"/>
  <c r="F1058" i="3" s="1"/>
  <c r="AX1058" i="3"/>
  <c r="AY1058" i="3" s="1"/>
  <c r="AN1058" i="3"/>
  <c r="AK1058" i="3"/>
  <c r="BH1058" i="3"/>
  <c r="BG1058" i="3"/>
  <c r="BF1058" i="3"/>
  <c r="BE1058" i="3"/>
  <c r="AZ1058" i="3"/>
  <c r="AC1058" i="3"/>
  <c r="V1058" i="3"/>
  <c r="S1058" i="3"/>
  <c r="R1058" i="3"/>
  <c r="C1058" i="3"/>
  <c r="F1172" i="3" a="1"/>
  <c r="F1172" i="3" s="1"/>
  <c r="AX1172" i="3"/>
  <c r="AY1172" i="3" s="1"/>
  <c r="AM1172" i="3"/>
  <c r="AN1172" i="3"/>
  <c r="AJ1172" i="3"/>
  <c r="AK1172" i="3"/>
  <c r="BH1172" i="3"/>
  <c r="BG1172" i="3"/>
  <c r="BF1172" i="3"/>
  <c r="BE1172" i="3"/>
  <c r="W1172" i="3" s="1"/>
  <c r="AC1172" i="3"/>
  <c r="V1172" i="3"/>
  <c r="S1172" i="3"/>
  <c r="R1172" i="3"/>
  <c r="C1172" i="3"/>
  <c r="F1128" i="3" a="1"/>
  <c r="F1128" i="3" s="1"/>
  <c r="AX1128" i="3"/>
  <c r="AY1128" i="3" s="1"/>
  <c r="AU1128" i="3"/>
  <c r="Z1128" i="3"/>
  <c r="BH1128" i="3"/>
  <c r="BG1128" i="3"/>
  <c r="BF1128" i="3"/>
  <c r="X1128" i="3" s="1"/>
  <c r="BE1128" i="3"/>
  <c r="W1128" i="3" s="1"/>
  <c r="AC1128" i="3"/>
  <c r="V1128" i="3"/>
  <c r="S1128" i="3"/>
  <c r="R1128" i="3"/>
  <c r="C1128" i="3"/>
  <c r="AM895" i="3"/>
  <c r="F849" i="3" a="1"/>
  <c r="F849" i="3" s="1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79" i="3"/>
  <c r="U1080" i="3"/>
  <c r="U1146" i="3"/>
  <c r="V1146" i="3" s="1"/>
  <c r="X149" i="70"/>
  <c r="AK1040" i="3"/>
  <c r="AJ1040" i="3"/>
  <c r="AK1039" i="3"/>
  <c r="AJ1039" i="3"/>
  <c r="AK1036" i="3"/>
  <c r="Z1036" i="3" s="1"/>
  <c r="AJ1036" i="3"/>
  <c r="F1036" i="3" a="1"/>
  <c r="F1036" i="3" s="1"/>
  <c r="BH1036" i="3"/>
  <c r="BG1036" i="3"/>
  <c r="BF1036" i="3"/>
  <c r="X1036" i="3" s="1"/>
  <c r="BE1036" i="3"/>
  <c r="W1036" i="3" s="1"/>
  <c r="AC1036" i="3"/>
  <c r="V1036" i="3"/>
  <c r="S1036" i="3"/>
  <c r="R1036" i="3"/>
  <c r="C1036" i="3"/>
  <c r="W1043" i="3"/>
  <c r="F1043" i="3" a="1"/>
  <c r="F1043" i="3" s="1"/>
  <c r="BH1043" i="3"/>
  <c r="BG1043" i="3"/>
  <c r="BF1043" i="3"/>
  <c r="X1043" i="3" s="1"/>
  <c r="BE1043" i="3"/>
  <c r="AZ1043" i="3"/>
  <c r="AC1043" i="3"/>
  <c r="Z1043" i="3"/>
  <c r="V1043" i="3"/>
  <c r="S1043" i="3"/>
  <c r="R1043" i="3"/>
  <c r="C1043" i="3"/>
  <c r="U1049" i="3"/>
  <c r="F1233" i="3" a="1"/>
  <c r="F1233" i="3" s="1"/>
  <c r="AX1233" i="3"/>
  <c r="AY1233" i="3" s="1"/>
  <c r="AN1233" i="3"/>
  <c r="AJ1233" i="3"/>
  <c r="AK1233" i="3"/>
  <c r="BH1233" i="3"/>
  <c r="BG1233" i="3"/>
  <c r="AC1233" i="3"/>
  <c r="S1233" i="3"/>
  <c r="R1233" i="3"/>
  <c r="C1233" i="3"/>
  <c r="F1039" i="3" a="1"/>
  <c r="F1039" i="3" s="1"/>
  <c r="AX1039" i="3"/>
  <c r="AY1039" i="3" s="1"/>
  <c r="AN1039" i="3"/>
  <c r="BH1039" i="3"/>
  <c r="BG1039" i="3"/>
  <c r="BF1039" i="3"/>
  <c r="BE1039" i="3"/>
  <c r="W1039" i="3" s="1"/>
  <c r="AC1039" i="3"/>
  <c r="V1039" i="3"/>
  <c r="S1039" i="3"/>
  <c r="R1039" i="3"/>
  <c r="C1039" i="3"/>
  <c r="BH1236" i="3"/>
  <c r="BG1236" i="3"/>
  <c r="AX1236" i="3"/>
  <c r="AY1236" i="3" s="1"/>
  <c r="AN1236" i="3"/>
  <c r="AK1236" i="3"/>
  <c r="AJ1236" i="3"/>
  <c r="AC1236" i="3"/>
  <c r="U1236" i="3"/>
  <c r="S1236" i="3"/>
  <c r="R1236" i="3"/>
  <c r="F1236" i="3" a="1"/>
  <c r="F1236" i="3" s="1"/>
  <c r="C1236" i="3"/>
  <c r="U1235" i="3"/>
  <c r="U1234" i="3"/>
  <c r="U1221" i="3"/>
  <c r="V1221" i="3" s="1"/>
  <c r="U1219" i="3"/>
  <c r="V1219" i="3" s="1"/>
  <c r="BH1214" i="3"/>
  <c r="BG1214" i="3"/>
  <c r="BF1214" i="3"/>
  <c r="BE1214" i="3"/>
  <c r="AX1214" i="3"/>
  <c r="AY1214" i="3" s="1"/>
  <c r="AK1214" i="3"/>
  <c r="AJ1214" i="3"/>
  <c r="U1214" i="3"/>
  <c r="S1214" i="3"/>
  <c r="R1214" i="3"/>
  <c r="F1214" i="3" a="1"/>
  <c r="F1214" i="3" s="1"/>
  <c r="C1214" i="3"/>
  <c r="U1212" i="3"/>
  <c r="U1217" i="3"/>
  <c r="U1216" i="3"/>
  <c r="U1220" i="3"/>
  <c r="V1220" i="3" s="1"/>
  <c r="U1213" i="3"/>
  <c r="V1213" i="3" s="1"/>
  <c r="BH1218" i="3"/>
  <c r="BG1218" i="3"/>
  <c r="BF1218" i="3"/>
  <c r="BE1218" i="3"/>
  <c r="AX1218" i="3"/>
  <c r="AY1218" i="3" s="1"/>
  <c r="AK1218" i="3"/>
  <c r="AJ1218" i="3"/>
  <c r="U1218" i="3"/>
  <c r="S1218" i="3"/>
  <c r="R1218" i="3"/>
  <c r="F1218" i="3" a="1"/>
  <c r="F1218" i="3" s="1"/>
  <c r="C1218" i="3"/>
  <c r="BH1217" i="3"/>
  <c r="BG1217" i="3"/>
  <c r="BF1217" i="3"/>
  <c r="BE1217" i="3"/>
  <c r="AX1217" i="3"/>
  <c r="AY1217" i="3" s="1"/>
  <c r="AK1217" i="3"/>
  <c r="AJ1217" i="3"/>
  <c r="S1217" i="3"/>
  <c r="R1217" i="3"/>
  <c r="F1217" i="3" a="1"/>
  <c r="F1217" i="3" s="1"/>
  <c r="C1217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U1211" i="3"/>
  <c r="U1210" i="3"/>
  <c r="BH1210" i="3"/>
  <c r="BG1210" i="3"/>
  <c r="BF1210" i="3"/>
  <c r="BE1210" i="3"/>
  <c r="AX1210" i="3"/>
  <c r="AY1210" i="3" s="1"/>
  <c r="AK1210" i="3"/>
  <c r="AJ1210" i="3"/>
  <c r="S1210" i="3"/>
  <c r="R1210" i="3"/>
  <c r="F1210" i="3" a="1"/>
  <c r="F1210" i="3" s="1"/>
  <c r="C1210" i="3"/>
  <c r="BH1211" i="3"/>
  <c r="BG1211" i="3"/>
  <c r="BF1211" i="3"/>
  <c r="BE1211" i="3"/>
  <c r="AX1211" i="3"/>
  <c r="AY1211" i="3" s="1"/>
  <c r="AK1211" i="3"/>
  <c r="AJ1211" i="3"/>
  <c r="S1211" i="3"/>
  <c r="R1211" i="3"/>
  <c r="F1211" i="3" a="1"/>
  <c r="F1211" i="3" s="1"/>
  <c r="C1211" i="3"/>
  <c r="U67" i="122"/>
  <c r="V67" i="122"/>
  <c r="X67" i="122"/>
  <c r="U1205" i="3"/>
  <c r="U1200" i="3"/>
  <c r="U1203" i="3"/>
  <c r="U1052" i="3"/>
  <c r="V1052" i="3" s="1"/>
  <c r="U1204" i="3"/>
  <c r="V1204" i="3" s="1"/>
  <c r="U1208" i="3"/>
  <c r="V64" i="122"/>
  <c r="X64" i="122"/>
  <c r="F1193" i="3" a="1"/>
  <c r="F1193" i="3" s="1"/>
  <c r="F1192" i="3" a="1"/>
  <c r="F1192" i="3" s="1"/>
  <c r="U1192" i="3"/>
  <c r="V1192" i="3" s="1"/>
  <c r="AJ1192" i="3"/>
  <c r="AK1192" i="3"/>
  <c r="AN1192" i="3"/>
  <c r="AU1192" i="3" s="1"/>
  <c r="AX1192" i="3"/>
  <c r="AY1192" i="3" s="1"/>
  <c r="U1193" i="3"/>
  <c r="V1193" i="3" s="1"/>
  <c r="AJ1193" i="3"/>
  <c r="AK1193" i="3"/>
  <c r="AN1193" i="3"/>
  <c r="AX1193" i="3"/>
  <c r="AY1193" i="3" s="1"/>
  <c r="BH1193" i="3"/>
  <c r="BG1193" i="3"/>
  <c r="BF1193" i="3"/>
  <c r="BE1193" i="3"/>
  <c r="AC1193" i="3"/>
  <c r="S1193" i="3"/>
  <c r="R1193" i="3"/>
  <c r="C1193" i="3"/>
  <c r="BH1192" i="3"/>
  <c r="BG1192" i="3"/>
  <c r="BF1192" i="3"/>
  <c r="BE1192" i="3"/>
  <c r="AC1192" i="3"/>
  <c r="S1192" i="3"/>
  <c r="R1192" i="3"/>
  <c r="C1192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190" i="3" a="1"/>
  <c r="F1190" i="3" s="1"/>
  <c r="BH1190" i="3"/>
  <c r="BG1190" i="3"/>
  <c r="BF1190" i="3"/>
  <c r="X1190" i="3" s="1"/>
  <c r="BE1190" i="3"/>
  <c r="W1190" i="3" s="1"/>
  <c r="AZ1190" i="3"/>
  <c r="AC1190" i="3"/>
  <c r="Z1190" i="3"/>
  <c r="V1190" i="3"/>
  <c r="S1190" i="3"/>
  <c r="R1190" i="3"/>
  <c r="C1190" i="3"/>
  <c r="U1006" i="3"/>
  <c r="F1037" i="3" a="1"/>
  <c r="F1037" i="3" s="1"/>
  <c r="AX1037" i="3"/>
  <c r="AY1037" i="3" s="1"/>
  <c r="AN1037" i="3"/>
  <c r="AK1037" i="3"/>
  <c r="BH1037" i="3"/>
  <c r="BG1037" i="3"/>
  <c r="BF1037" i="3"/>
  <c r="BE1037" i="3"/>
  <c r="AC1037" i="3"/>
  <c r="W1037" i="3"/>
  <c r="V1037" i="3"/>
  <c r="S1037" i="3"/>
  <c r="R1037" i="3"/>
  <c r="C1037" i="3"/>
  <c r="F1044" i="3" a="1"/>
  <c r="F1044" i="3" s="1"/>
  <c r="AX1044" i="3"/>
  <c r="AY1044" i="3" s="1"/>
  <c r="Z1044" i="3"/>
  <c r="BH1044" i="3"/>
  <c r="BG1044" i="3"/>
  <c r="BF1044" i="3"/>
  <c r="BE1044" i="3"/>
  <c r="AZ1044" i="3"/>
  <c r="AC1044" i="3"/>
  <c r="V1044" i="3"/>
  <c r="S1044" i="3"/>
  <c r="R1044" i="3"/>
  <c r="C1044" i="3"/>
  <c r="U27" i="122"/>
  <c r="U47" i="122" s="1"/>
  <c r="U1027" i="3"/>
  <c r="F1151" i="3" a="1"/>
  <c r="F1151" i="3" s="1"/>
  <c r="U1151" i="3"/>
  <c r="AN1129" i="3"/>
  <c r="AM1129" i="3"/>
  <c r="AK1129" i="3"/>
  <c r="AJ1129" i="3"/>
  <c r="AN1130" i="3"/>
  <c r="AM1130" i="3"/>
  <c r="AK1130" i="3"/>
  <c r="AJ1130" i="3"/>
  <c r="AJ1145" i="3"/>
  <c r="AK1145" i="3"/>
  <c r="AM1145" i="3"/>
  <c r="AN1145" i="3"/>
  <c r="AJ1146" i="3"/>
  <c r="AK1146" i="3"/>
  <c r="AM1146" i="3"/>
  <c r="AN1146" i="3"/>
  <c r="F1129" i="3" a="1"/>
  <c r="F1129" i="3" s="1"/>
  <c r="F1146" i="3" a="1"/>
  <c r="F1146" i="3" s="1"/>
  <c r="AX1146" i="3"/>
  <c r="AY1146" i="3" s="1"/>
  <c r="BH1146" i="3"/>
  <c r="BG1146" i="3"/>
  <c r="BF1146" i="3"/>
  <c r="BE1146" i="3"/>
  <c r="AC1146" i="3"/>
  <c r="S1146" i="3"/>
  <c r="R1146" i="3"/>
  <c r="C1146" i="3"/>
  <c r="Z1182" i="3"/>
  <c r="V1182" i="3"/>
  <c r="S1182" i="3"/>
  <c r="R1182" i="3"/>
  <c r="F1182" i="3" a="1"/>
  <c r="F1182" i="3" s="1"/>
  <c r="C1182" i="3"/>
  <c r="AC1182" i="3"/>
  <c r="AZ1182" i="3"/>
  <c r="BE1182" i="3"/>
  <c r="W1182" i="3" s="1"/>
  <c r="BF1182" i="3"/>
  <c r="X1182" i="3" s="1"/>
  <c r="BG1182" i="3"/>
  <c r="BH1182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 s="1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29" i="3"/>
  <c r="V1229" i="3" s="1"/>
  <c r="F1229" i="3" a="1"/>
  <c r="F1229" i="3" s="1"/>
  <c r="F1228" i="3" a="1"/>
  <c r="F1228" i="3" s="1"/>
  <c r="C1228" i="3"/>
  <c r="R1228" i="3"/>
  <c r="S1228" i="3"/>
  <c r="AC1228" i="3"/>
  <c r="AJ1228" i="3"/>
  <c r="AK1228" i="3"/>
  <c r="AN1228" i="3"/>
  <c r="AX1228" i="3"/>
  <c r="AY1228" i="3" s="1"/>
  <c r="BE1228" i="3"/>
  <c r="BF1228" i="3"/>
  <c r="BG1228" i="3"/>
  <c r="BH1228" i="3"/>
  <c r="C1229" i="3"/>
  <c r="R1229" i="3"/>
  <c r="S1229" i="3"/>
  <c r="AC1229" i="3"/>
  <c r="AJ1229" i="3"/>
  <c r="AK1229" i="3"/>
  <c r="AN1229" i="3"/>
  <c r="AX1229" i="3"/>
  <c r="AY1229" i="3" s="1"/>
  <c r="BE1229" i="3"/>
  <c r="BF1229" i="3"/>
  <c r="BG1229" i="3"/>
  <c r="BH1229" i="3"/>
  <c r="BH1031" i="3"/>
  <c r="BG1031" i="3"/>
  <c r="BF1031" i="3"/>
  <c r="BE1031" i="3"/>
  <c r="AX1031" i="3"/>
  <c r="AY1031" i="3" s="1"/>
  <c r="AU1031" i="3"/>
  <c r="AC1031" i="3"/>
  <c r="Z1031" i="3"/>
  <c r="S1031" i="3"/>
  <c r="R1031" i="3"/>
  <c r="F1031" i="3" a="1"/>
  <c r="F1031" i="3" s="1"/>
  <c r="C1031" i="3"/>
  <c r="U1206" i="3"/>
  <c r="V1054" i="3"/>
  <c r="U1194" i="3"/>
  <c r="V1194" i="3" s="1"/>
  <c r="U1196" i="3"/>
  <c r="V1196" i="3" s="1"/>
  <c r="F1221" i="3" a="1"/>
  <c r="F1221" i="3" s="1"/>
  <c r="F1220" i="3" a="1"/>
  <c r="F1220" i="3" s="1"/>
  <c r="F1219" i="3" a="1"/>
  <c r="F1219" i="3" s="1"/>
  <c r="AJ1219" i="3"/>
  <c r="AK1219" i="3"/>
  <c r="AX1219" i="3"/>
  <c r="AY1219" i="3" s="1"/>
  <c r="AJ1220" i="3"/>
  <c r="AK1220" i="3"/>
  <c r="AX1220" i="3"/>
  <c r="AY1220" i="3" s="1"/>
  <c r="AJ1221" i="3"/>
  <c r="AK1221" i="3"/>
  <c r="AX1221" i="3"/>
  <c r="AY1221" i="3" s="1"/>
  <c r="F1213" i="3" a="1"/>
  <c r="F1213" i="3" s="1"/>
  <c r="C1213" i="3"/>
  <c r="R1213" i="3"/>
  <c r="S1213" i="3"/>
  <c r="AJ1213" i="3"/>
  <c r="AK1213" i="3"/>
  <c r="AX1213" i="3"/>
  <c r="AY1213" i="3" s="1"/>
  <c r="BE1213" i="3"/>
  <c r="BF1213" i="3"/>
  <c r="BG1213" i="3"/>
  <c r="BH1213" i="3"/>
  <c r="F1215" i="3" a="1"/>
  <c r="F1215" i="3" s="1"/>
  <c r="F1209" i="3" a="1"/>
  <c r="F1209" i="3" s="1"/>
  <c r="F1212" i="3" a="1"/>
  <c r="F1212" i="3" s="1"/>
  <c r="AX1212" i="3"/>
  <c r="AY1212" i="3" s="1"/>
  <c r="AJ1212" i="3"/>
  <c r="AK1212" i="3"/>
  <c r="BH1219" i="3"/>
  <c r="BG1219" i="3"/>
  <c r="BF1219" i="3"/>
  <c r="BE1219" i="3"/>
  <c r="S1219" i="3"/>
  <c r="R1219" i="3"/>
  <c r="C1219" i="3"/>
  <c r="BH1220" i="3"/>
  <c r="BG1220" i="3"/>
  <c r="BF1220" i="3"/>
  <c r="BE1220" i="3"/>
  <c r="S1220" i="3"/>
  <c r="R1220" i="3"/>
  <c r="C1220" i="3"/>
  <c r="BH1221" i="3"/>
  <c r="BG1221" i="3"/>
  <c r="BF1221" i="3"/>
  <c r="BE1221" i="3"/>
  <c r="S1221" i="3"/>
  <c r="R1221" i="3"/>
  <c r="C1221" i="3"/>
  <c r="BH1212" i="3"/>
  <c r="BG1212" i="3"/>
  <c r="BF1212" i="3"/>
  <c r="BE1212" i="3"/>
  <c r="S1212" i="3"/>
  <c r="R1212" i="3"/>
  <c r="C1212" i="3"/>
  <c r="F1198" i="3" a="1"/>
  <c r="F1198" i="3" s="1"/>
  <c r="AX1198" i="3"/>
  <c r="AY1198" i="3" s="1"/>
  <c r="AN1198" i="3"/>
  <c r="AJ1198" i="3"/>
  <c r="AK1198" i="3"/>
  <c r="U1198" i="3"/>
  <c r="BH1198" i="3"/>
  <c r="BG1198" i="3"/>
  <c r="BF1198" i="3"/>
  <c r="BE1198" i="3"/>
  <c r="AC1198" i="3"/>
  <c r="S1198" i="3"/>
  <c r="R1198" i="3"/>
  <c r="C1198" i="3"/>
  <c r="U1197" i="3"/>
  <c r="V1197" i="3" s="1"/>
  <c r="F1197" i="3" a="1"/>
  <c r="F1197" i="3" s="1"/>
  <c r="AJ1197" i="3"/>
  <c r="AK1197" i="3"/>
  <c r="AN1197" i="3"/>
  <c r="AX1197" i="3"/>
  <c r="AY1197" i="3" s="1"/>
  <c r="BH1197" i="3"/>
  <c r="BG1197" i="3"/>
  <c r="BF1197" i="3"/>
  <c r="BE1197" i="3"/>
  <c r="AC1197" i="3"/>
  <c r="S1197" i="3"/>
  <c r="R1197" i="3"/>
  <c r="C1197" i="3"/>
  <c r="U1195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3" i="3"/>
  <c r="AU874" i="3"/>
  <c r="AU875" i="3"/>
  <c r="AU929" i="3"/>
  <c r="AU1030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75" i="70"/>
  <c r="AV276" i="70"/>
  <c r="AV277" i="70"/>
  <c r="AV278" i="70"/>
  <c r="AV279" i="70"/>
  <c r="AV280" i="70"/>
  <c r="AV2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78" i="3"/>
  <c r="BG1078" i="3"/>
  <c r="BF1078" i="3"/>
  <c r="BE1078" i="3"/>
  <c r="AX1078" i="3"/>
  <c r="AY1078" i="3" s="1"/>
  <c r="Z1078" i="3"/>
  <c r="AC1078" i="3"/>
  <c r="S1078" i="3"/>
  <c r="R1078" i="3"/>
  <c r="F1078" i="3" a="1"/>
  <c r="C1078" i="3"/>
  <c r="AX939" i="3"/>
  <c r="AX941" i="3"/>
  <c r="AX1026" i="3"/>
  <c r="AX1027" i="3"/>
  <c r="AX1048" i="3"/>
  <c r="AY1048" i="3" s="1"/>
  <c r="AX1049" i="3"/>
  <c r="AY1049" i="3" s="1"/>
  <c r="AX1057" i="3"/>
  <c r="AY1057" i="3" s="1"/>
  <c r="AX1055" i="3"/>
  <c r="AY1055" i="3" s="1"/>
  <c r="AX1051" i="3"/>
  <c r="AY1051" i="3" s="1"/>
  <c r="AX1177" i="3"/>
  <c r="AY1177" i="3" s="1"/>
  <c r="AX1180" i="3"/>
  <c r="AX1181" i="3"/>
  <c r="AX1184" i="3"/>
  <c r="AY1184" i="3" s="1"/>
  <c r="AX1186" i="3"/>
  <c r="AX1188" i="3"/>
  <c r="AX1189" i="3"/>
  <c r="AX1185" i="3"/>
  <c r="AX1183" i="3"/>
  <c r="AX1054" i="3"/>
  <c r="AY1054" i="3" s="1"/>
  <c r="AX1194" i="3"/>
  <c r="AY1194" i="3" s="1"/>
  <c r="AX1195" i="3"/>
  <c r="AY1195" i="3" s="1"/>
  <c r="AX1196" i="3"/>
  <c r="AY1196" i="3" s="1"/>
  <c r="AX1052" i="3"/>
  <c r="AY1052" i="3" s="1"/>
  <c r="AX1200" i="3"/>
  <c r="AY1200" i="3" s="1"/>
  <c r="AX1056" i="3"/>
  <c r="AY1056" i="3" s="1"/>
  <c r="AX1202" i="3"/>
  <c r="AY1202" i="3" s="1"/>
  <c r="AX1203" i="3"/>
  <c r="AY1203" i="3" s="1"/>
  <c r="AX1204" i="3"/>
  <c r="AY1204" i="3" s="1"/>
  <c r="AX1205" i="3"/>
  <c r="AY1205" i="3" s="1"/>
  <c r="AX1206" i="3"/>
  <c r="AY1206" i="3" s="1"/>
  <c r="AX1208" i="3"/>
  <c r="AY1208" i="3" s="1"/>
  <c r="AX1230" i="3"/>
  <c r="AY1230" i="3" s="1"/>
  <c r="AX1016" i="3"/>
  <c r="AX1045" i="3"/>
  <c r="AX1061" i="3"/>
  <c r="AX1064" i="3"/>
  <c r="AX1065" i="3"/>
  <c r="AX1066" i="3"/>
  <c r="AX1072" i="3"/>
  <c r="AX1073" i="3"/>
  <c r="AX1135" i="3"/>
  <c r="AX1079" i="3"/>
  <c r="AX1024" i="3"/>
  <c r="AY1024" i="3" s="1"/>
  <c r="AX1025" i="3"/>
  <c r="AY1025" i="3" s="1"/>
  <c r="AX1018" i="3"/>
  <c r="AX1019" i="3"/>
  <c r="AY1019" i="3" s="1"/>
  <c r="AX1020" i="3"/>
  <c r="AY1020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X983" i="3"/>
  <c r="AX984" i="3"/>
  <c r="AY984" i="3" s="1"/>
  <c r="AX985" i="3"/>
  <c r="AY985" i="3" s="1"/>
  <c r="AX986" i="3"/>
  <c r="AY986" i="3" s="1"/>
  <c r="AX987" i="3"/>
  <c r="AY987" i="3" s="1"/>
  <c r="AX988" i="3"/>
  <c r="AY988" i="3" s="1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75" i="70"/>
  <c r="AW276" i="70"/>
  <c r="AW277" i="70"/>
  <c r="AW278" i="70"/>
  <c r="AW279" i="70"/>
  <c r="AW280" i="70"/>
  <c r="AW281" i="70"/>
  <c r="AV2" i="70"/>
  <c r="AW2" i="70" s="1"/>
  <c r="AX1235" i="3"/>
  <c r="AY1235" i="3" s="1"/>
  <c r="AX1234" i="3"/>
  <c r="AY1234" i="3" s="1"/>
  <c r="AX1232" i="3"/>
  <c r="AY1232" i="3" s="1"/>
  <c r="AX1231" i="3"/>
  <c r="AX1227" i="3"/>
  <c r="AX1226" i="3"/>
  <c r="AY1226" i="3" s="1"/>
  <c r="AX1225" i="3"/>
  <c r="AX1207" i="3"/>
  <c r="AY1207" i="3" s="1"/>
  <c r="AX1199" i="3"/>
  <c r="AX1191" i="3"/>
  <c r="AX1179" i="3"/>
  <c r="AX1175" i="3"/>
  <c r="AX1008" i="3"/>
  <c r="AX1174" i="3"/>
  <c r="AX1173" i="3"/>
  <c r="AX1170" i="3"/>
  <c r="AX1129" i="3"/>
  <c r="AX1168" i="3"/>
  <c r="AX1164" i="3"/>
  <c r="AX940" i="3"/>
  <c r="AX1163" i="3"/>
  <c r="AX1162" i="3"/>
  <c r="AX1161" i="3"/>
  <c r="AX1160" i="3"/>
  <c r="AX1159" i="3"/>
  <c r="AX1158" i="3"/>
  <c r="AX1157" i="3"/>
  <c r="AX1156" i="3"/>
  <c r="AX1155" i="3"/>
  <c r="AX1154" i="3"/>
  <c r="AX1153" i="3"/>
  <c r="AX1144" i="3"/>
  <c r="AX1143" i="3"/>
  <c r="AX1142" i="3"/>
  <c r="AX1141" i="3"/>
  <c r="AX1140" i="3"/>
  <c r="AX1139" i="3"/>
  <c r="AX1138" i="3"/>
  <c r="AX1137" i="3"/>
  <c r="AX1136" i="3"/>
  <c r="AX1131" i="3"/>
  <c r="AX1124" i="3"/>
  <c r="AX1123" i="3"/>
  <c r="AX1122" i="3"/>
  <c r="AX1119" i="3"/>
  <c r="AX1118" i="3"/>
  <c r="AX1117" i="3"/>
  <c r="AX1116" i="3"/>
  <c r="AX1115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88" i="3"/>
  <c r="AX1087" i="3"/>
  <c r="AX1086" i="3"/>
  <c r="AX1085" i="3"/>
  <c r="AX1084" i="3"/>
  <c r="AX1083" i="3"/>
  <c r="AX1082" i="3"/>
  <c r="AX1081" i="3"/>
  <c r="AX1017" i="3"/>
  <c r="AY1017" i="3" s="1"/>
  <c r="AX1004" i="3"/>
  <c r="AX973" i="3"/>
  <c r="AX971" i="3"/>
  <c r="AX970" i="3"/>
  <c r="AX1029" i="3"/>
  <c r="AX918" i="3"/>
  <c r="AX917" i="3"/>
  <c r="F1025" i="3" a="1"/>
  <c r="AN1025" i="3"/>
  <c r="AJ1025" i="3"/>
  <c r="AK1025" i="3"/>
  <c r="BH1025" i="3"/>
  <c r="BG1025" i="3"/>
  <c r="BF1025" i="3"/>
  <c r="BE1025" i="3"/>
  <c r="AC1025" i="3"/>
  <c r="V1025" i="3"/>
  <c r="S1025" i="3"/>
  <c r="R1025" i="3"/>
  <c r="C1025" i="3"/>
  <c r="F1207" i="3" a="1"/>
  <c r="F1199" i="3" a="1"/>
  <c r="F1191" i="3" a="1"/>
  <c r="F1179" i="3" a="1"/>
  <c r="F1175" i="3" a="1"/>
  <c r="F1008" i="3" a="1"/>
  <c r="F1174" i="3" a="1"/>
  <c r="F1173" i="3" a="1"/>
  <c r="F1170" i="3" a="1"/>
  <c r="F1168" i="3" a="1"/>
  <c r="F1164" i="3" a="1"/>
  <c r="F940" i="3" a="1"/>
  <c r="F1163" i="3" a="1"/>
  <c r="F1162" i="3" a="1"/>
  <c r="F1161" i="3" a="1"/>
  <c r="F1160" i="3" a="1"/>
  <c r="F1159" i="3" a="1"/>
  <c r="F1158" i="3" a="1"/>
  <c r="F1157" i="3" a="1"/>
  <c r="F1156" i="3" a="1"/>
  <c r="F1155" i="3" a="1"/>
  <c r="F1154" i="3" a="1"/>
  <c r="F1153" i="3" a="1"/>
  <c r="F1144" i="3" a="1"/>
  <c r="F1143" i="3" a="1"/>
  <c r="F1142" i="3" a="1"/>
  <c r="F1141" i="3" a="1"/>
  <c r="F1140" i="3" a="1"/>
  <c r="F1139" i="3" a="1"/>
  <c r="F1138" i="3" a="1"/>
  <c r="F1137" i="3" a="1"/>
  <c r="F1136" i="3" a="1"/>
  <c r="F1131" i="3" a="1"/>
  <c r="F1124" i="3" a="1"/>
  <c r="F1123" i="3" a="1"/>
  <c r="F1122" i="3" a="1"/>
  <c r="F1119" i="3" a="1"/>
  <c r="F1118" i="3" a="1"/>
  <c r="F1117" i="3" a="1"/>
  <c r="F1116" i="3" a="1"/>
  <c r="F1115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F1084" i="3" a="1"/>
  <c r="F1083" i="3" a="1"/>
  <c r="F1082" i="3" a="1"/>
  <c r="F1081" i="3" a="1"/>
  <c r="U1055" i="3"/>
  <c r="F1055" i="3" a="1"/>
  <c r="F1024" i="3" a="1"/>
  <c r="C1024" i="3"/>
  <c r="R1024" i="3"/>
  <c r="S1024" i="3"/>
  <c r="AC1024" i="3"/>
  <c r="AJ1024" i="3"/>
  <c r="AK1024" i="3"/>
  <c r="AN1024" i="3"/>
  <c r="BE1024" i="3"/>
  <c r="BF1024" i="3"/>
  <c r="BG1024" i="3"/>
  <c r="BH1024" i="3"/>
  <c r="C1055" i="3"/>
  <c r="R1055" i="3"/>
  <c r="S1055" i="3"/>
  <c r="AC1055" i="3"/>
  <c r="AJ1055" i="3"/>
  <c r="AK1055" i="3"/>
  <c r="AN1055" i="3"/>
  <c r="BE1055" i="3"/>
  <c r="BF1055" i="3"/>
  <c r="BG1055" i="3"/>
  <c r="BH1055" i="3"/>
  <c r="U1048" i="3"/>
  <c r="AU987" i="3"/>
  <c r="AJ976" i="3"/>
  <c r="AU977" i="3"/>
  <c r="F1126" i="3" a="1"/>
  <c r="AX1126" i="3"/>
  <c r="AY1126" i="3" s="1"/>
  <c r="BH1126" i="3"/>
  <c r="BG1126" i="3"/>
  <c r="BF1126" i="3"/>
  <c r="BE1126" i="3"/>
  <c r="W1126" i="3" s="1"/>
  <c r="AC1126" i="3"/>
  <c r="V1126" i="3"/>
  <c r="S1126" i="3"/>
  <c r="R1126" i="3"/>
  <c r="C1126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9" i="3" a="1"/>
  <c r="F1196" i="3" a="1"/>
  <c r="F1195" i="3" a="1"/>
  <c r="F1194" i="3" a="1"/>
  <c r="F1054" i="3" a="1"/>
  <c r="V1195" i="3"/>
  <c r="U1207" i="3"/>
  <c r="BH1208" i="3"/>
  <c r="BG1208" i="3"/>
  <c r="BF1208" i="3"/>
  <c r="BE1208" i="3"/>
  <c r="AN1208" i="3"/>
  <c r="AK1208" i="3"/>
  <c r="AJ1208" i="3"/>
  <c r="AC1208" i="3"/>
  <c r="S1208" i="3"/>
  <c r="R1208" i="3"/>
  <c r="F1208" i="3" a="1"/>
  <c r="C1208" i="3"/>
  <c r="BH1207" i="3"/>
  <c r="BG1207" i="3"/>
  <c r="BF1207" i="3"/>
  <c r="BE1207" i="3"/>
  <c r="AN1207" i="3"/>
  <c r="AK1207" i="3"/>
  <c r="AJ1207" i="3"/>
  <c r="AC1207" i="3"/>
  <c r="S1207" i="3"/>
  <c r="R1207" i="3"/>
  <c r="C1207" i="3"/>
  <c r="F1206" i="3" a="1"/>
  <c r="F1205" i="3" a="1"/>
  <c r="F1204" i="3" a="1"/>
  <c r="F1203" i="3" a="1"/>
  <c r="AJ1203" i="3"/>
  <c r="AK1203" i="3"/>
  <c r="AN1203" i="3"/>
  <c r="AJ1204" i="3"/>
  <c r="AK1204" i="3"/>
  <c r="AN1204" i="3"/>
  <c r="V1205" i="3"/>
  <c r="AJ1205" i="3"/>
  <c r="AK1205" i="3"/>
  <c r="AN1205" i="3"/>
  <c r="AJ1206" i="3"/>
  <c r="AK1206" i="3"/>
  <c r="AN1206" i="3"/>
  <c r="BH1203" i="3"/>
  <c r="BG1203" i="3"/>
  <c r="BF1203" i="3"/>
  <c r="BE1203" i="3"/>
  <c r="AC1203" i="3"/>
  <c r="S1203" i="3"/>
  <c r="R1203" i="3"/>
  <c r="C1203" i="3"/>
  <c r="BH1204" i="3"/>
  <c r="BG1204" i="3"/>
  <c r="BF1204" i="3"/>
  <c r="BE1204" i="3"/>
  <c r="AC1204" i="3"/>
  <c r="S1204" i="3"/>
  <c r="R1204" i="3"/>
  <c r="C1204" i="3"/>
  <c r="BH1205" i="3"/>
  <c r="BG1205" i="3"/>
  <c r="BF1205" i="3"/>
  <c r="BE1205" i="3"/>
  <c r="AC1205" i="3"/>
  <c r="S1205" i="3"/>
  <c r="R1205" i="3"/>
  <c r="C1205" i="3"/>
  <c r="BH1206" i="3"/>
  <c r="BG1206" i="3"/>
  <c r="BF1206" i="3"/>
  <c r="BE1206" i="3"/>
  <c r="AC1206" i="3"/>
  <c r="S1206" i="3"/>
  <c r="R1206" i="3"/>
  <c r="C1206" i="3"/>
  <c r="F1202" i="3" a="1"/>
  <c r="F1056" i="3" a="1"/>
  <c r="F1200" i="3" a="1"/>
  <c r="V1202" i="3"/>
  <c r="V1056" i="3"/>
  <c r="V1200" i="3"/>
  <c r="C1054" i="3"/>
  <c r="R1054" i="3"/>
  <c r="S1054" i="3"/>
  <c r="AC1054" i="3"/>
  <c r="AJ1054" i="3"/>
  <c r="AK1054" i="3"/>
  <c r="AN1054" i="3"/>
  <c r="BE1054" i="3"/>
  <c r="BF1054" i="3"/>
  <c r="BG1054" i="3"/>
  <c r="BH1054" i="3"/>
  <c r="C1194" i="3"/>
  <c r="R1194" i="3"/>
  <c r="S1194" i="3"/>
  <c r="AC1194" i="3"/>
  <c r="AJ1194" i="3"/>
  <c r="AK1194" i="3"/>
  <c r="AN1194" i="3"/>
  <c r="BE1194" i="3"/>
  <c r="BF1194" i="3"/>
  <c r="BG1194" i="3"/>
  <c r="BH1194" i="3"/>
  <c r="C1195" i="3"/>
  <c r="R1195" i="3"/>
  <c r="S1195" i="3"/>
  <c r="AC1195" i="3"/>
  <c r="AJ1195" i="3"/>
  <c r="AK1195" i="3"/>
  <c r="AN1195" i="3"/>
  <c r="BE1195" i="3"/>
  <c r="BF1195" i="3"/>
  <c r="BG1195" i="3"/>
  <c r="BH1195" i="3"/>
  <c r="C1196" i="3"/>
  <c r="R1196" i="3"/>
  <c r="S1196" i="3"/>
  <c r="AC1196" i="3"/>
  <c r="AJ1196" i="3"/>
  <c r="AK1196" i="3"/>
  <c r="AN1196" i="3"/>
  <c r="BE1196" i="3"/>
  <c r="BF1196" i="3"/>
  <c r="BG1196" i="3"/>
  <c r="BH1196" i="3"/>
  <c r="F1052" i="3" a="1"/>
  <c r="C1052" i="3"/>
  <c r="R1052" i="3"/>
  <c r="S1052" i="3"/>
  <c r="AC1052" i="3"/>
  <c r="AJ1052" i="3"/>
  <c r="AK1052" i="3"/>
  <c r="AN1052" i="3"/>
  <c r="BE1052" i="3"/>
  <c r="BF1052" i="3"/>
  <c r="BG1052" i="3"/>
  <c r="BH1052" i="3"/>
  <c r="C1200" i="3"/>
  <c r="R1200" i="3"/>
  <c r="S1200" i="3"/>
  <c r="AC1200" i="3"/>
  <c r="AJ1200" i="3"/>
  <c r="AK1200" i="3"/>
  <c r="AN1200" i="3"/>
  <c r="BE1200" i="3"/>
  <c r="BF1200" i="3"/>
  <c r="BG1200" i="3"/>
  <c r="BH1200" i="3"/>
  <c r="C1056" i="3"/>
  <c r="R1056" i="3"/>
  <c r="S1056" i="3"/>
  <c r="AC1056" i="3"/>
  <c r="AJ1056" i="3"/>
  <c r="AK1056" i="3"/>
  <c r="AN1056" i="3"/>
  <c r="BE1056" i="3"/>
  <c r="BF1056" i="3"/>
  <c r="BG1056" i="3"/>
  <c r="BH1056" i="3"/>
  <c r="C1202" i="3"/>
  <c r="R1202" i="3"/>
  <c r="S1202" i="3"/>
  <c r="AC1202" i="3"/>
  <c r="AJ1202" i="3"/>
  <c r="AK1202" i="3"/>
  <c r="AN1202" i="3"/>
  <c r="BE1202" i="3"/>
  <c r="BF1202" i="3"/>
  <c r="BG1202" i="3"/>
  <c r="BH1202" i="3"/>
  <c r="F1177" i="3" a="1"/>
  <c r="F1051" i="3" a="1"/>
  <c r="F1169" i="3" a="1"/>
  <c r="F1165" i="3" a="1"/>
  <c r="V1177" i="3"/>
  <c r="W1051" i="3"/>
  <c r="C1051" i="3"/>
  <c r="R1051" i="3"/>
  <c r="S1051" i="3"/>
  <c r="AC1051" i="3"/>
  <c r="BE1051" i="3"/>
  <c r="BF1051" i="3"/>
  <c r="BG1051" i="3"/>
  <c r="BH1051" i="3"/>
  <c r="C1177" i="3"/>
  <c r="R1177" i="3"/>
  <c r="S1177" i="3"/>
  <c r="AC1177" i="3"/>
  <c r="AJ1177" i="3"/>
  <c r="AK1177" i="3"/>
  <c r="AN1177" i="3"/>
  <c r="BE1177" i="3"/>
  <c r="BF1177" i="3"/>
  <c r="BG1177" i="3"/>
  <c r="BH1177" i="3"/>
  <c r="U1169" i="3"/>
  <c r="BH1169" i="3"/>
  <c r="BG1169" i="3"/>
  <c r="BF1169" i="3"/>
  <c r="BE1169" i="3"/>
  <c r="AX1169" i="3"/>
  <c r="AY1169" i="3" s="1"/>
  <c r="AN1169" i="3"/>
  <c r="AM1169" i="3"/>
  <c r="AK1169" i="3"/>
  <c r="AJ1169" i="3"/>
  <c r="AC1169" i="3"/>
  <c r="S1169" i="3"/>
  <c r="R1169" i="3"/>
  <c r="C1169" i="3"/>
  <c r="BH1165" i="3"/>
  <c r="BG1165" i="3"/>
  <c r="BF1165" i="3"/>
  <c r="BE1165" i="3"/>
  <c r="AX1165" i="3"/>
  <c r="AY1165" i="3" s="1"/>
  <c r="AN1165" i="3"/>
  <c r="AM1165" i="3"/>
  <c r="AK1165" i="3"/>
  <c r="AJ1165" i="3"/>
  <c r="AC1165" i="3"/>
  <c r="S1165" i="3"/>
  <c r="R1165" i="3"/>
  <c r="C1165" i="3"/>
  <c r="F1235" i="3" a="1"/>
  <c r="F1234" i="3" a="1"/>
  <c r="F1232" i="3" a="1"/>
  <c r="C1232" i="3"/>
  <c r="R1232" i="3"/>
  <c r="S1232" i="3"/>
  <c r="AC1232" i="3"/>
  <c r="AJ1232" i="3"/>
  <c r="AK1232" i="3"/>
  <c r="AN1232" i="3"/>
  <c r="BG1232" i="3"/>
  <c r="BH1232" i="3"/>
  <c r="C1234" i="3"/>
  <c r="R1234" i="3"/>
  <c r="S1234" i="3"/>
  <c r="AC1234" i="3"/>
  <c r="AJ1234" i="3"/>
  <c r="AK1234" i="3"/>
  <c r="AN1234" i="3"/>
  <c r="BG1234" i="3"/>
  <c r="BH1234" i="3"/>
  <c r="C1235" i="3"/>
  <c r="R1235" i="3"/>
  <c r="S1235" i="3"/>
  <c r="AC1235" i="3"/>
  <c r="AJ1235" i="3"/>
  <c r="AK1235" i="3"/>
  <c r="AN1235" i="3"/>
  <c r="BG1235" i="3"/>
  <c r="BH1235" i="3"/>
  <c r="BH1226" i="3"/>
  <c r="BG1226" i="3"/>
  <c r="BF1226" i="3"/>
  <c r="BE1226" i="3"/>
  <c r="AN1226" i="3"/>
  <c r="AK1226" i="3"/>
  <c r="AJ1226" i="3"/>
  <c r="AC1226" i="3"/>
  <c r="S1226" i="3"/>
  <c r="R1226" i="3"/>
  <c r="F1226" i="3" a="1"/>
  <c r="C1226" i="3"/>
  <c r="F1033" i="3" a="1"/>
  <c r="U1038" i="3"/>
  <c r="BH1033" i="3"/>
  <c r="BG1033" i="3"/>
  <c r="BF1033" i="3"/>
  <c r="BE1033" i="3"/>
  <c r="AX1033" i="3"/>
  <c r="AY1033" i="3" s="1"/>
  <c r="S1033" i="3"/>
  <c r="R1033" i="3"/>
  <c r="C1033" i="3"/>
  <c r="F982" i="3" a="1"/>
  <c r="BH982" i="3"/>
  <c r="BG982" i="3"/>
  <c r="BF982" i="3"/>
  <c r="BE982" i="3"/>
  <c r="AZ982" i="3"/>
  <c r="AY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30" i="3" a="1"/>
  <c r="AN1230" i="3"/>
  <c r="AK1230" i="3"/>
  <c r="U1230" i="3"/>
  <c r="V1230" i="3" s="1"/>
  <c r="BH1230" i="3"/>
  <c r="BG1230" i="3"/>
  <c r="BF1230" i="3"/>
  <c r="BE1230" i="3"/>
  <c r="AZ1230" i="3"/>
  <c r="AC1230" i="3"/>
  <c r="S1230" i="3"/>
  <c r="R1230" i="3"/>
  <c r="C1230" i="3"/>
  <c r="U1017" i="3"/>
  <c r="BH1167" i="3"/>
  <c r="BG1167" i="3"/>
  <c r="BF1167" i="3"/>
  <c r="BE1167" i="3"/>
  <c r="AX1167" i="3"/>
  <c r="AY1167" i="3" s="1"/>
  <c r="AN1167" i="3"/>
  <c r="AM1167" i="3"/>
  <c r="AK1167" i="3"/>
  <c r="AJ1167" i="3"/>
  <c r="AC1167" i="3"/>
  <c r="S1167" i="3"/>
  <c r="R1167" i="3"/>
  <c r="F1167" i="3" a="1"/>
  <c r="C1167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050" i="3"/>
  <c r="BG1050" i="3"/>
  <c r="BF1050" i="3"/>
  <c r="BE1050" i="3"/>
  <c r="AX1050" i="3"/>
  <c r="AY1050" i="3" s="1"/>
  <c r="AC1050" i="3"/>
  <c r="S1050" i="3"/>
  <c r="R1050" i="3"/>
  <c r="C1050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035" i="3" a="1"/>
  <c r="F1038" i="3" a="1"/>
  <c r="F1047" i="3" a="1"/>
  <c r="BH1035" i="3"/>
  <c r="BG1035" i="3"/>
  <c r="BF1035" i="3"/>
  <c r="BE1035" i="3"/>
  <c r="AX1035" i="3"/>
  <c r="AY1035" i="3" s="1"/>
  <c r="S1035" i="3"/>
  <c r="R1035" i="3"/>
  <c r="C1035" i="3"/>
  <c r="U1047" i="3"/>
  <c r="BH1038" i="3"/>
  <c r="BG1038" i="3"/>
  <c r="BF1038" i="3"/>
  <c r="BE1038" i="3"/>
  <c r="AX1038" i="3"/>
  <c r="AY1038" i="3" s="1"/>
  <c r="AK1038" i="3"/>
  <c r="AJ1038" i="3"/>
  <c r="S1038" i="3"/>
  <c r="R1038" i="3"/>
  <c r="C1038" i="3"/>
  <c r="BH1047" i="3"/>
  <c r="BG1047" i="3"/>
  <c r="BF1047" i="3"/>
  <c r="BE1047" i="3"/>
  <c r="AX1047" i="3"/>
  <c r="AY1047" i="3" s="1"/>
  <c r="AK1047" i="3"/>
  <c r="AJ1047" i="3"/>
  <c r="S1047" i="3"/>
  <c r="R1047" i="3"/>
  <c r="C1047" i="3"/>
  <c r="F1021" i="3" a="1"/>
  <c r="BH1021" i="3"/>
  <c r="BG1021" i="3"/>
  <c r="BF1021" i="3"/>
  <c r="X1021" i="3" s="1"/>
  <c r="BE1021" i="3"/>
  <c r="W1021" i="3" s="1"/>
  <c r="AX1021" i="3"/>
  <c r="AY1021" i="3" s="1"/>
  <c r="AK1021" i="3"/>
  <c r="AJ1021" i="3"/>
  <c r="V1021" i="3"/>
  <c r="S1021" i="3"/>
  <c r="R1021" i="3"/>
  <c r="C1021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6" i="70"/>
  <c r="AS246" i="70"/>
  <c r="AA246" i="70"/>
  <c r="X246" i="70"/>
  <c r="C246" i="70"/>
  <c r="X275" i="70"/>
  <c r="AA275" i="70"/>
  <c r="AS275" i="70"/>
  <c r="BC275" i="70"/>
  <c r="BC243" i="70"/>
  <c r="AS243" i="70"/>
  <c r="AA243" i="70"/>
  <c r="X243" i="70"/>
  <c r="C243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C239" i="70"/>
  <c r="AC823" i="3"/>
  <c r="F1184" i="3" a="1"/>
  <c r="BH1184" i="3"/>
  <c r="BG1184" i="3"/>
  <c r="BF1184" i="3"/>
  <c r="BE1184" i="3"/>
  <c r="W1184" i="3" s="1"/>
  <c r="AZ1184" i="3"/>
  <c r="S1184" i="3"/>
  <c r="R1184" i="3"/>
  <c r="C1184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7" i="3" a="1"/>
  <c r="C1027" i="3"/>
  <c r="U988" i="3"/>
  <c r="BH988" i="3"/>
  <c r="BG988" i="3"/>
  <c r="BF988" i="3"/>
  <c r="BE988" i="3"/>
  <c r="AZ988" i="3"/>
  <c r="AC988" i="3"/>
  <c r="S988" i="3"/>
  <c r="R988" i="3"/>
  <c r="F988" i="3" a="1"/>
  <c r="C988" i="3"/>
  <c r="BH1057" i="3"/>
  <c r="BG1057" i="3"/>
  <c r="BF1057" i="3"/>
  <c r="BE1057" i="3"/>
  <c r="AZ1057" i="3"/>
  <c r="AN1057" i="3"/>
  <c r="AK1057" i="3"/>
  <c r="AC1057" i="3"/>
  <c r="S1057" i="3"/>
  <c r="R1057" i="3"/>
  <c r="F1057" i="3" a="1"/>
  <c r="C1057" i="3"/>
  <c r="BH1049" i="3"/>
  <c r="BG1049" i="3"/>
  <c r="BF1049" i="3"/>
  <c r="BE1049" i="3"/>
  <c r="AZ1049" i="3"/>
  <c r="AN1049" i="3"/>
  <c r="AK1049" i="3"/>
  <c r="AJ1049" i="3"/>
  <c r="AC1049" i="3"/>
  <c r="S1049" i="3"/>
  <c r="R1049" i="3"/>
  <c r="F1049" i="3" a="1"/>
  <c r="C1049" i="3"/>
  <c r="BH1048" i="3"/>
  <c r="BG1048" i="3"/>
  <c r="BF1048" i="3"/>
  <c r="BE1048" i="3"/>
  <c r="AZ1048" i="3"/>
  <c r="AN1048" i="3"/>
  <c r="AK1048" i="3"/>
  <c r="AJ1048" i="3"/>
  <c r="AC1048" i="3"/>
  <c r="S1048" i="3"/>
  <c r="R1048" i="3"/>
  <c r="F1048" i="3" a="1"/>
  <c r="C1048" i="3"/>
  <c r="X1178" i="3" l="1"/>
  <c r="Z1165" i="3"/>
  <c r="Z1178" i="3"/>
  <c r="AU1178" i="3"/>
  <c r="X1070" i="3"/>
  <c r="V1233" i="3"/>
  <c r="W1050" i="3"/>
  <c r="X1050" i="3"/>
  <c r="Z1233" i="3"/>
  <c r="W1069" i="3"/>
  <c r="Z1039" i="3"/>
  <c r="W1192" i="3"/>
  <c r="Z1058" i="3"/>
  <c r="Z1068" i="3"/>
  <c r="Z1067" i="3"/>
  <c r="AU685" i="3"/>
  <c r="Z1037" i="3"/>
  <c r="Z1127" i="3"/>
  <c r="Z1069" i="3"/>
  <c r="Z1074" i="3"/>
  <c r="Z1076" i="3"/>
  <c r="W1193" i="3"/>
  <c r="Z1062" i="3"/>
  <c r="AU1220" i="3"/>
  <c r="Z1070" i="3"/>
  <c r="AU1229" i="3"/>
  <c r="Z1071" i="3"/>
  <c r="Z1176" i="3"/>
  <c r="AU1193" i="3"/>
  <c r="Z1236" i="3"/>
  <c r="Z1172" i="3"/>
  <c r="Z1077" i="3"/>
  <c r="Z1166" i="3"/>
  <c r="Z1201" i="3"/>
  <c r="AU1219" i="3"/>
  <c r="Z1075" i="3"/>
  <c r="AU1068" i="3"/>
  <c r="AU1197" i="3"/>
  <c r="AU1069" i="3"/>
  <c r="W1197" i="3"/>
  <c r="X1233" i="3"/>
  <c r="W1219" i="3"/>
  <c r="W1166" i="3"/>
  <c r="X1077" i="3"/>
  <c r="W1220" i="3"/>
  <c r="W1146" i="3"/>
  <c r="X1193" i="3"/>
  <c r="X1069" i="3"/>
  <c r="V1166" i="3"/>
  <c r="X1146" i="3"/>
  <c r="X1192" i="3"/>
  <c r="V1068" i="3"/>
  <c r="X1068" i="3"/>
  <c r="W1077" i="3"/>
  <c r="X1184" i="3"/>
  <c r="X1221" i="3"/>
  <c r="W1074" i="3"/>
  <c r="X1074" i="3"/>
  <c r="AU1074" i="3"/>
  <c r="W1067" i="3"/>
  <c r="X1067" i="3"/>
  <c r="AU1067" i="3"/>
  <c r="X1060" i="3"/>
  <c r="AU1060" i="3"/>
  <c r="AU1059" i="3"/>
  <c r="X1166" i="3"/>
  <c r="AU1166" i="3"/>
  <c r="AU1077" i="3"/>
  <c r="AU1070" i="3"/>
  <c r="AU1201" i="3"/>
  <c r="X1075" i="3"/>
  <c r="W1075" i="3"/>
  <c r="V1075" i="3"/>
  <c r="AU1075" i="3"/>
  <c r="X1076" i="3"/>
  <c r="W1076" i="3"/>
  <c r="V1076" i="3"/>
  <c r="AU1076" i="3"/>
  <c r="AU1071" i="3"/>
  <c r="AU1062" i="3"/>
  <c r="X1032" i="3"/>
  <c r="W1032" i="3"/>
  <c r="V1032" i="3"/>
  <c r="X1127" i="3"/>
  <c r="AU1127" i="3"/>
  <c r="W1176" i="3"/>
  <c r="X1176" i="3"/>
  <c r="AU1176" i="3"/>
  <c r="W1058" i="3"/>
  <c r="X1058" i="3"/>
  <c r="AU1058" i="3"/>
  <c r="X1172" i="3"/>
  <c r="AU1172" i="3"/>
  <c r="X849" i="3"/>
  <c r="W849" i="3"/>
  <c r="V849" i="3"/>
  <c r="AU1233" i="3"/>
  <c r="X1039" i="3"/>
  <c r="AU1039" i="3"/>
  <c r="AU1236" i="3"/>
  <c r="X1236" i="3"/>
  <c r="W1236" i="3"/>
  <c r="V1236" i="3"/>
  <c r="X1214" i="3"/>
  <c r="W1214" i="3"/>
  <c r="V1214" i="3"/>
  <c r="AU1214" i="3"/>
  <c r="X1216" i="3"/>
  <c r="W1216" i="3"/>
  <c r="V1216" i="3"/>
  <c r="AU1216" i="3"/>
  <c r="X1217" i="3"/>
  <c r="W1217" i="3"/>
  <c r="V1217" i="3"/>
  <c r="AU1217" i="3"/>
  <c r="X1218" i="3"/>
  <c r="W1218" i="3"/>
  <c r="V1218" i="3"/>
  <c r="AU1218" i="3"/>
  <c r="X1210" i="3"/>
  <c r="W1210" i="3"/>
  <c r="V1210" i="3"/>
  <c r="AU1210" i="3"/>
  <c r="X1211" i="3"/>
  <c r="W1211" i="3"/>
  <c r="V1211" i="3"/>
  <c r="AU1211" i="3"/>
  <c r="Z1193" i="3"/>
  <c r="Z1192" i="3"/>
  <c r="X1037" i="3"/>
  <c r="AU1037" i="3"/>
  <c r="W1044" i="3"/>
  <c r="X1044" i="3"/>
  <c r="AU1044" i="3"/>
  <c r="Z1198" i="3"/>
  <c r="AU1213" i="3"/>
  <c r="AU1221" i="3"/>
  <c r="W1221" i="3"/>
  <c r="AU1212" i="3"/>
  <c r="Z1146" i="3"/>
  <c r="AU1228" i="3"/>
  <c r="X1219" i="3"/>
  <c r="W1198" i="3"/>
  <c r="W1212" i="3"/>
  <c r="W1229" i="3"/>
  <c r="X1220" i="3"/>
  <c r="X1197" i="3"/>
  <c r="V1198" i="3"/>
  <c r="X1212" i="3"/>
  <c r="X1213" i="3"/>
  <c r="X1229" i="3"/>
  <c r="V1212" i="3"/>
  <c r="AU988" i="3"/>
  <c r="X1228" i="3"/>
  <c r="W1228" i="3"/>
  <c r="W1213" i="3"/>
  <c r="AU1146" i="3"/>
  <c r="AU1000" i="3"/>
  <c r="T47" i="122"/>
  <c r="AU1126" i="3"/>
  <c r="AU1024" i="3"/>
  <c r="AU1200" i="3"/>
  <c r="AU1054" i="3"/>
  <c r="AU1232" i="3"/>
  <c r="AU1202" i="3"/>
  <c r="AU1052" i="3"/>
  <c r="AU1235" i="3"/>
  <c r="AU1177" i="3"/>
  <c r="Z1229" i="3"/>
  <c r="Z1228" i="3"/>
  <c r="X1031" i="3"/>
  <c r="W1031" i="3"/>
  <c r="V1031" i="3"/>
  <c r="Z1197" i="3"/>
  <c r="X1198" i="3"/>
  <c r="AU1198" i="3"/>
  <c r="W1200" i="3"/>
  <c r="Z1205" i="3"/>
  <c r="AU982" i="3"/>
  <c r="AU972" i="3"/>
  <c r="AU1051" i="3"/>
  <c r="AU1056" i="3"/>
  <c r="AU986" i="3"/>
  <c r="AU1194" i="3"/>
  <c r="AU1055" i="3"/>
  <c r="AU1195" i="3"/>
  <c r="AU1234" i="3"/>
  <c r="AU1196" i="3"/>
  <c r="AU1048" i="3"/>
  <c r="AU1049" i="3"/>
  <c r="AU1057" i="3"/>
  <c r="AU1184" i="3"/>
  <c r="AU1021" i="3"/>
  <c r="AU1047" i="3"/>
  <c r="AU1038" i="3"/>
  <c r="AU1035" i="3"/>
  <c r="AU981" i="3"/>
  <c r="AU1050" i="3"/>
  <c r="AU1017" i="3"/>
  <c r="AU1167" i="3"/>
  <c r="AU1230" i="3"/>
  <c r="AU985" i="3"/>
  <c r="AU1033" i="3"/>
  <c r="AU1226" i="3"/>
  <c r="AU1165" i="3"/>
  <c r="AU1169" i="3"/>
  <c r="AU1206" i="3"/>
  <c r="AU1205" i="3"/>
  <c r="AU1204" i="3"/>
  <c r="AU1203" i="3"/>
  <c r="AU1207" i="3"/>
  <c r="AU1208" i="3"/>
  <c r="AU1019" i="3"/>
  <c r="AU1020" i="3"/>
  <c r="AU937" i="3"/>
  <c r="AU1025" i="3"/>
  <c r="AU1078" i="3"/>
  <c r="AU993" i="3"/>
  <c r="V1051" i="3"/>
  <c r="X1054" i="3"/>
  <c r="Z1126" i="3"/>
  <c r="Z1169" i="3"/>
  <c r="Z1208" i="3"/>
  <c r="X1078" i="3"/>
  <c r="W1078" i="3"/>
  <c r="V1078" i="3"/>
  <c r="Z1050" i="3"/>
  <c r="Z985" i="3"/>
  <c r="Z1020" i="3"/>
  <c r="X1195" i="3"/>
  <c r="X1196" i="3"/>
  <c r="W1195" i="3"/>
  <c r="W1230" i="3"/>
  <c r="W1196" i="3"/>
  <c r="X1200" i="3"/>
  <c r="W1052" i="3"/>
  <c r="X1202" i="3"/>
  <c r="X1194" i="3"/>
  <c r="W1177" i="3"/>
  <c r="W1204" i="3"/>
  <c r="X1177" i="3"/>
  <c r="W1202" i="3"/>
  <c r="X1203" i="3"/>
  <c r="X1051" i="3"/>
  <c r="W1056" i="3"/>
  <c r="X1052" i="3"/>
  <c r="X1056" i="3"/>
  <c r="W1194" i="3"/>
  <c r="W1054" i="3"/>
  <c r="Z1017" i="3"/>
  <c r="Z1167" i="3"/>
  <c r="W1206" i="3"/>
  <c r="Z982" i="3"/>
  <c r="Z1019" i="3"/>
  <c r="Z1226" i="3"/>
  <c r="Z1204" i="3"/>
  <c r="Z1207" i="3"/>
  <c r="Z1025" i="3"/>
  <c r="Z981" i="3"/>
  <c r="Z986" i="3"/>
  <c r="W1203" i="3"/>
  <c r="Z1206" i="3"/>
  <c r="Z1203" i="3"/>
  <c r="Z1230" i="3"/>
  <c r="W1205" i="3"/>
  <c r="V1206" i="3"/>
  <c r="X1204" i="3"/>
  <c r="X1205" i="3"/>
  <c r="W42" i="122" s="1"/>
  <c r="W44" i="122" s="1"/>
  <c r="X1206" i="3"/>
  <c r="V1203" i="3"/>
  <c r="W1025" i="3"/>
  <c r="X1025" i="3"/>
  <c r="Z1055" i="3"/>
  <c r="Z1024" i="3"/>
  <c r="X1126" i="3"/>
  <c r="W1019" i="3"/>
  <c r="X1019" i="3"/>
  <c r="W1020" i="3"/>
  <c r="X1020" i="3"/>
  <c r="X1207" i="3"/>
  <c r="W1207" i="3"/>
  <c r="V1207" i="3"/>
  <c r="X1208" i="3"/>
  <c r="W1208" i="3"/>
  <c r="V1208" i="3"/>
  <c r="Z1196" i="3"/>
  <c r="Z1195" i="3"/>
  <c r="Z1194" i="3"/>
  <c r="Z1054" i="3"/>
  <c r="Z1202" i="3"/>
  <c r="Z1056" i="3"/>
  <c r="Z1200" i="3"/>
  <c r="Z1052" i="3"/>
  <c r="Z1177" i="3"/>
  <c r="Z1051" i="3"/>
  <c r="Z1235" i="3"/>
  <c r="Z1234" i="3"/>
  <c r="Z1232" i="3"/>
  <c r="W982" i="3"/>
  <c r="X982" i="3"/>
  <c r="X1230" i="3"/>
  <c r="X986" i="3"/>
  <c r="X981" i="3"/>
  <c r="W981" i="3"/>
  <c r="X1035" i="3"/>
  <c r="W1035" i="3"/>
  <c r="V1035" i="3"/>
  <c r="Z988" i="3"/>
  <c r="Z1057" i="3"/>
  <c r="Z1049" i="3"/>
  <c r="Z1048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89" i="3" a="1"/>
  <c r="BH1189" i="3"/>
  <c r="BG1189" i="3"/>
  <c r="BF1189" i="3"/>
  <c r="X1189" i="3" s="1"/>
  <c r="BE1189" i="3"/>
  <c r="W1189" i="3" s="1"/>
  <c r="AZ1189" i="3"/>
  <c r="AY1189" i="3"/>
  <c r="AC1189" i="3"/>
  <c r="V1189" i="3"/>
  <c r="S1189" i="3"/>
  <c r="R1189" i="3"/>
  <c r="C1189" i="3"/>
  <c r="F1188" i="3" a="1"/>
  <c r="F1186" i="3" a="1"/>
  <c r="BH1186" i="3"/>
  <c r="BG1186" i="3"/>
  <c r="BF1186" i="3"/>
  <c r="X1186" i="3" s="1"/>
  <c r="BE1186" i="3"/>
  <c r="W1186" i="3" s="1"/>
  <c r="AZ1186" i="3"/>
  <c r="AY1186" i="3"/>
  <c r="AC1186" i="3"/>
  <c r="V1186" i="3"/>
  <c r="S1186" i="3"/>
  <c r="R1186" i="3"/>
  <c r="C1186" i="3"/>
  <c r="BH1188" i="3"/>
  <c r="BG1188" i="3"/>
  <c r="BF1188" i="3"/>
  <c r="X1188" i="3" s="1"/>
  <c r="BE1188" i="3"/>
  <c r="W1188" i="3" s="1"/>
  <c r="AZ1188" i="3"/>
  <c r="AY1188" i="3"/>
  <c r="AC1188" i="3"/>
  <c r="V1188" i="3"/>
  <c r="S1188" i="3"/>
  <c r="R1188" i="3"/>
  <c r="C1188" i="3"/>
  <c r="F1183" i="3" a="1"/>
  <c r="BH1183" i="3"/>
  <c r="BG1183" i="3"/>
  <c r="BF1183" i="3"/>
  <c r="X1183" i="3" s="1"/>
  <c r="BE1183" i="3"/>
  <c r="W1183" i="3" s="1"/>
  <c r="AZ1183" i="3"/>
  <c r="AY1183" i="3"/>
  <c r="S1183" i="3"/>
  <c r="R1183" i="3"/>
  <c r="C1183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2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74" i="3"/>
  <c r="AK1174" i="3"/>
  <c r="AK915" i="3"/>
  <c r="AJ939" i="3"/>
  <c r="AK939" i="3"/>
  <c r="AJ940" i="3"/>
  <c r="AK940" i="3"/>
  <c r="AJ1008" i="3"/>
  <c r="AK1008" i="3"/>
  <c r="AJ1175" i="3"/>
  <c r="AK1175" i="3"/>
  <c r="AJ1179" i="3"/>
  <c r="AK1179" i="3"/>
  <c r="AJ1181" i="3"/>
  <c r="AK1181" i="3"/>
  <c r="AJ1191" i="3"/>
  <c r="AK1191" i="3"/>
  <c r="AJ1199" i="3"/>
  <c r="AK1199" i="3"/>
  <c r="AJ1209" i="3"/>
  <c r="AK1209" i="3"/>
  <c r="AJ1215" i="3"/>
  <c r="AK1215" i="3"/>
  <c r="AU1215" i="3" s="1"/>
  <c r="AJ1222" i="3"/>
  <c r="AK1222" i="3"/>
  <c r="AJ1223" i="3"/>
  <c r="AK1223" i="3"/>
  <c r="AJ1225" i="3"/>
  <c r="AK1225" i="3"/>
  <c r="AJ1227" i="3"/>
  <c r="AK1227" i="3"/>
  <c r="AJ1231" i="3"/>
  <c r="AK1231" i="3"/>
  <c r="AM1162" i="3"/>
  <c r="AN1162" i="3"/>
  <c r="AM1163" i="3"/>
  <c r="AN1163" i="3"/>
  <c r="AM989" i="3"/>
  <c r="AN989" i="3"/>
  <c r="AM1164" i="3"/>
  <c r="AN1164" i="3"/>
  <c r="AM1010" i="3"/>
  <c r="AN1010" i="3"/>
  <c r="AM1168" i="3"/>
  <c r="AN1168" i="3"/>
  <c r="AM1012" i="3"/>
  <c r="AN1012" i="3"/>
  <c r="AM1053" i="3"/>
  <c r="AN1053" i="3"/>
  <c r="AM1171" i="3"/>
  <c r="AN1171" i="3"/>
  <c r="AM1022" i="3"/>
  <c r="AN1022" i="3"/>
  <c r="AM1170" i="3"/>
  <c r="AN1170" i="3"/>
  <c r="AM1023" i="3"/>
  <c r="AN1023" i="3"/>
  <c r="AM1013" i="3"/>
  <c r="AN1013" i="3"/>
  <c r="AM1173" i="3"/>
  <c r="AN1173" i="3"/>
  <c r="AJ1164" i="3"/>
  <c r="AK1164" i="3"/>
  <c r="AJ1010" i="3"/>
  <c r="AK1010" i="3"/>
  <c r="AJ1168" i="3"/>
  <c r="AK1168" i="3"/>
  <c r="AJ1012" i="3"/>
  <c r="AK1012" i="3"/>
  <c r="AJ1053" i="3"/>
  <c r="AK1053" i="3"/>
  <c r="AJ1171" i="3"/>
  <c r="AK1171" i="3"/>
  <c r="AJ1022" i="3"/>
  <c r="AK1022" i="3"/>
  <c r="AJ1170" i="3"/>
  <c r="AK1170" i="3"/>
  <c r="AJ1023" i="3"/>
  <c r="AK1023" i="3"/>
  <c r="AJ1013" i="3"/>
  <c r="AK1013" i="3"/>
  <c r="AJ1173" i="3"/>
  <c r="AK1173" i="3"/>
  <c r="AK946" i="3"/>
  <c r="AM1161" i="3"/>
  <c r="AN1161" i="3"/>
  <c r="AJ1161" i="3"/>
  <c r="AK1161" i="3"/>
  <c r="AJ1162" i="3"/>
  <c r="AK1162" i="3"/>
  <c r="AJ1163" i="3"/>
  <c r="AK1163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4" i="3"/>
  <c r="AY1156" i="3"/>
  <c r="AN1156" i="3"/>
  <c r="AK1156" i="3"/>
  <c r="BH1156" i="3"/>
  <c r="BG1156" i="3"/>
  <c r="BF1156" i="3"/>
  <c r="BE1156" i="3"/>
  <c r="AC1156" i="3"/>
  <c r="S1156" i="3"/>
  <c r="R1156" i="3"/>
  <c r="C1156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W64" i="122" l="1"/>
  <c r="W67" i="122"/>
  <c r="AU1028" i="3"/>
  <c r="AU1027" i="3"/>
  <c r="AU1209" i="3"/>
  <c r="AU1026" i="3"/>
  <c r="AU989" i="3"/>
  <c r="AU1222" i="3"/>
  <c r="AU1223" i="3"/>
  <c r="AU801" i="3"/>
  <c r="AU1156" i="3"/>
  <c r="AU976" i="3"/>
  <c r="AU1161" i="3"/>
  <c r="AU1173" i="3"/>
  <c r="AU1046" i="3"/>
  <c r="AU1125" i="3"/>
  <c r="AU1013" i="3"/>
  <c r="AU1023" i="3"/>
  <c r="AU1170" i="3"/>
  <c r="AU1022" i="3"/>
  <c r="AU1171" i="3"/>
  <c r="AU1145" i="3"/>
  <c r="AU1053" i="3"/>
  <c r="AU1130" i="3"/>
  <c r="AU1129" i="3"/>
  <c r="AU961" i="3"/>
  <c r="AU1012" i="3"/>
  <c r="AU1168" i="3"/>
  <c r="AU1010" i="3"/>
  <c r="AU1164" i="3"/>
  <c r="AU1163" i="3"/>
  <c r="AU1162" i="3"/>
  <c r="AU1011" i="3"/>
  <c r="Z621" i="3"/>
  <c r="AU621" i="3"/>
  <c r="AU1183" i="3"/>
  <c r="AU1186" i="3"/>
  <c r="AU1188" i="3"/>
  <c r="AU1189" i="3"/>
  <c r="AU945" i="3"/>
  <c r="P23" i="122"/>
  <c r="Z801" i="3"/>
  <c r="X874" i="3"/>
  <c r="Z1007" i="3"/>
  <c r="Z978" i="3"/>
  <c r="Z922" i="3"/>
  <c r="Z1188" i="3"/>
  <c r="Z1189" i="3"/>
  <c r="Z1186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56" i="3"/>
  <c r="Z976" i="3"/>
  <c r="X801" i="3"/>
  <c r="U1180" i="3"/>
  <c r="BH1179" i="3"/>
  <c r="BG1179" i="3"/>
  <c r="BF1179" i="3"/>
  <c r="BE1179" i="3"/>
  <c r="AY1179" i="3"/>
  <c r="AN1179" i="3"/>
  <c r="AU1179" i="3" s="1"/>
  <c r="AC1179" i="3"/>
  <c r="S1179" i="3"/>
  <c r="R1179" i="3"/>
  <c r="C1179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74" i="3"/>
  <c r="BG1174" i="3"/>
  <c r="BF1174" i="3"/>
  <c r="BE1174" i="3"/>
  <c r="AY1174" i="3"/>
  <c r="AN1174" i="3"/>
  <c r="AU1174" i="3" s="1"/>
  <c r="AC1174" i="3"/>
  <c r="S1174" i="3"/>
  <c r="R1174" i="3"/>
  <c r="C1174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79" i="3"/>
  <c r="Z921" i="3"/>
  <c r="Z975" i="3"/>
  <c r="W921" i="3"/>
  <c r="X921" i="3"/>
  <c r="Z1174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9" i="3"/>
  <c r="R920" i="3"/>
  <c r="R1030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29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4" i="3"/>
  <c r="R1040" i="3"/>
  <c r="R1041" i="3"/>
  <c r="R974" i="3"/>
  <c r="R1042" i="3"/>
  <c r="R984" i="3"/>
  <c r="R983" i="3"/>
  <c r="R1045" i="3"/>
  <c r="R1018" i="3"/>
  <c r="R1061" i="3"/>
  <c r="R1135" i="3"/>
  <c r="R1064" i="3"/>
  <c r="R1065" i="3"/>
  <c r="R1066" i="3"/>
  <c r="R1072" i="3"/>
  <c r="R1073" i="3"/>
  <c r="R995" i="3"/>
  <c r="R990" i="3"/>
  <c r="R997" i="3"/>
  <c r="R994" i="3"/>
  <c r="R933" i="3"/>
  <c r="R998" i="3"/>
  <c r="R932" i="3"/>
  <c r="R991" i="3"/>
  <c r="R992" i="3"/>
  <c r="R999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944" i="3"/>
  <c r="R1111" i="3"/>
  <c r="R1112" i="3"/>
  <c r="R1113" i="3"/>
  <c r="R1114" i="3"/>
  <c r="R1115" i="3"/>
  <c r="R1116" i="3"/>
  <c r="R1117" i="3"/>
  <c r="R1118" i="3"/>
  <c r="R1001" i="3"/>
  <c r="R1014" i="3"/>
  <c r="R1119" i="3"/>
  <c r="R1015" i="3"/>
  <c r="R1079" i="3"/>
  <c r="R1080" i="3"/>
  <c r="R1120" i="3"/>
  <c r="R1121" i="3"/>
  <c r="R1122" i="3"/>
  <c r="R1123" i="3"/>
  <c r="R1124" i="3"/>
  <c r="R1147" i="3"/>
  <c r="R1131" i="3"/>
  <c r="R1132" i="3"/>
  <c r="R1133" i="3"/>
  <c r="R1134" i="3"/>
  <c r="R1136" i="3"/>
  <c r="R1137" i="3"/>
  <c r="R1138" i="3"/>
  <c r="R1139" i="3"/>
  <c r="R1140" i="3"/>
  <c r="R1141" i="3"/>
  <c r="R1142" i="3"/>
  <c r="R1143" i="3"/>
  <c r="R1148" i="3"/>
  <c r="R1144" i="3"/>
  <c r="R1151" i="3"/>
  <c r="R1152" i="3"/>
  <c r="R1009" i="3"/>
  <c r="R1153" i="3"/>
  <c r="R942" i="3"/>
  <c r="R943" i="3"/>
  <c r="R1154" i="3"/>
  <c r="R1155" i="3"/>
  <c r="R1157" i="3"/>
  <c r="R1158" i="3"/>
  <c r="R1159" i="3"/>
  <c r="R972" i="3"/>
  <c r="R996" i="3"/>
  <c r="R1160" i="3"/>
  <c r="R1161" i="3"/>
  <c r="R1162" i="3"/>
  <c r="R1163" i="3"/>
  <c r="R989" i="3"/>
  <c r="R938" i="3"/>
  <c r="R941" i="3"/>
  <c r="R1164" i="3"/>
  <c r="R1027" i="3"/>
  <c r="R1010" i="3"/>
  <c r="R1026" i="3"/>
  <c r="R1028" i="3"/>
  <c r="R1168" i="3"/>
  <c r="R1012" i="3"/>
  <c r="R961" i="3"/>
  <c r="R1129" i="3"/>
  <c r="R1130" i="3"/>
  <c r="R1053" i="3"/>
  <c r="R1145" i="3"/>
  <c r="R1171" i="3"/>
  <c r="R1022" i="3"/>
  <c r="R1170" i="3"/>
  <c r="R1023" i="3"/>
  <c r="R1013" i="3"/>
  <c r="R1125" i="3"/>
  <c r="R1046" i="3"/>
  <c r="R1173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75" i="3"/>
  <c r="R1180" i="3"/>
  <c r="R1181" i="3"/>
  <c r="R1185" i="3"/>
  <c r="R1191" i="3"/>
  <c r="R1199" i="3"/>
  <c r="R1209" i="3"/>
  <c r="R1215" i="3"/>
  <c r="R1222" i="3"/>
  <c r="R1223" i="3"/>
  <c r="R1225" i="3"/>
  <c r="R1227" i="3"/>
  <c r="R123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5" i="3"/>
  <c r="AZ1018" i="3"/>
  <c r="AZ1061" i="3"/>
  <c r="AZ1135" i="3"/>
  <c r="AZ1064" i="3"/>
  <c r="AZ1065" i="3"/>
  <c r="AZ1066" i="3"/>
  <c r="AZ1072" i="3"/>
  <c r="AZ1073" i="3"/>
  <c r="AZ1132" i="3"/>
  <c r="AZ1133" i="3"/>
  <c r="AZ1134" i="3"/>
  <c r="AZ1151" i="3"/>
  <c r="AZ942" i="3"/>
  <c r="AZ943" i="3"/>
  <c r="AZ972" i="3"/>
  <c r="AZ1012" i="3"/>
  <c r="AZ946" i="3"/>
  <c r="AZ931" i="3"/>
  <c r="AZ947" i="3"/>
  <c r="AZ948" i="3"/>
  <c r="AZ949" i="3"/>
  <c r="AZ1005" i="3"/>
  <c r="AZ939" i="3"/>
  <c r="AZ1181" i="3"/>
  <c r="AZ1185" i="3"/>
  <c r="F1135" i="3" l="1" a="1"/>
  <c r="U1135" i="3"/>
  <c r="BH1135" i="3"/>
  <c r="S1135" i="3"/>
  <c r="BG1135" i="3"/>
  <c r="BF1135" i="3"/>
  <c r="BE1135" i="3"/>
  <c r="AY1135" i="3"/>
  <c r="AU1135" i="3"/>
  <c r="AC1135" i="3"/>
  <c r="C1135" i="3"/>
  <c r="AK798" i="3"/>
  <c r="AK799" i="3"/>
  <c r="AK800" i="3"/>
  <c r="AK775" i="3"/>
  <c r="AK774" i="3"/>
  <c r="AU954" i="3"/>
  <c r="AU955" i="3"/>
  <c r="F1061" i="3" a="1"/>
  <c r="F1045" i="3" a="1"/>
  <c r="F977" i="3" a="1"/>
  <c r="C977" i="3"/>
  <c r="AC977" i="3"/>
  <c r="AY977" i="3"/>
  <c r="BE977" i="3"/>
  <c r="BF977" i="3"/>
  <c r="X977" i="3" s="1"/>
  <c r="BG977" i="3"/>
  <c r="S977" i="3"/>
  <c r="BH977" i="3"/>
  <c r="C1045" i="3"/>
  <c r="AC1045" i="3"/>
  <c r="AK1045" i="3"/>
  <c r="AN1045" i="3"/>
  <c r="AY1045" i="3"/>
  <c r="BE1045" i="3"/>
  <c r="BF1045" i="3"/>
  <c r="X1045" i="3" s="1"/>
  <c r="BG1045" i="3"/>
  <c r="S1045" i="3"/>
  <c r="BH1045" i="3"/>
  <c r="C1061" i="3"/>
  <c r="AC1061" i="3"/>
  <c r="AK1061" i="3"/>
  <c r="AN1061" i="3"/>
  <c r="AY1061" i="3"/>
  <c r="BE1061" i="3"/>
  <c r="BF1061" i="3"/>
  <c r="X1061" i="3" s="1"/>
  <c r="BG1061" i="3"/>
  <c r="S1061" i="3"/>
  <c r="BH1061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W1018" i="3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80" i="3" a="1"/>
  <c r="AU1180" i="3"/>
  <c r="BH1180" i="3"/>
  <c r="S1180" i="3"/>
  <c r="BG1180" i="3"/>
  <c r="BF1180" i="3"/>
  <c r="BE1180" i="3"/>
  <c r="AY1180" i="3"/>
  <c r="AC1180" i="3"/>
  <c r="C1180" i="3"/>
  <c r="BH1231" i="3"/>
  <c r="S1231" i="3"/>
  <c r="BG1231" i="3"/>
  <c r="AY1231" i="3"/>
  <c r="AN1231" i="3"/>
  <c r="AU1231" i="3" s="1"/>
  <c r="AC1231" i="3"/>
  <c r="F1231" i="3" a="1"/>
  <c r="C1231" i="3"/>
  <c r="BG1223" i="3"/>
  <c r="S1223" i="3"/>
  <c r="BH1223" i="3"/>
  <c r="BE1223" i="3"/>
  <c r="BF1223" i="3"/>
  <c r="AX1223" i="3"/>
  <c r="AY1223" i="3" s="1"/>
  <c r="C1223" i="3"/>
  <c r="BH1222" i="3"/>
  <c r="S1222" i="3"/>
  <c r="BG1222" i="3"/>
  <c r="BF1222" i="3"/>
  <c r="BE1222" i="3"/>
  <c r="AX1222" i="3"/>
  <c r="AY1222" i="3" s="1"/>
  <c r="C1222" i="3"/>
  <c r="BH1215" i="3"/>
  <c r="S1215" i="3"/>
  <c r="BG1215" i="3"/>
  <c r="BF1215" i="3"/>
  <c r="BE1215" i="3"/>
  <c r="AX1215" i="3"/>
  <c r="AY1215" i="3" s="1"/>
  <c r="C1215" i="3"/>
  <c r="BH1209" i="3"/>
  <c r="S1209" i="3"/>
  <c r="BG1209" i="3"/>
  <c r="BF1209" i="3"/>
  <c r="BE1209" i="3"/>
  <c r="AX1209" i="3"/>
  <c r="AY1209" i="3" s="1"/>
  <c r="C1209" i="3"/>
  <c r="U1015" i="3"/>
  <c r="U1013" i="3"/>
  <c r="F1125" i="3" a="1"/>
  <c r="AX1125" i="3"/>
  <c r="AY1125" i="3" s="1"/>
  <c r="BE1125" i="3"/>
  <c r="W1125" i="3" s="1"/>
  <c r="BF1125" i="3"/>
  <c r="BG1125" i="3"/>
  <c r="S1125" i="3"/>
  <c r="BH1125" i="3"/>
  <c r="V1125" i="3"/>
  <c r="AC1125" i="3"/>
  <c r="C1125" i="3"/>
  <c r="V1027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29" i="3"/>
  <c r="AN963" i="3"/>
  <c r="AN964" i="3"/>
  <c r="AN966" i="3"/>
  <c r="AN967" i="3"/>
  <c r="AN968" i="3"/>
  <c r="AN918" i="3"/>
  <c r="AN1042" i="3"/>
  <c r="AN920" i="3"/>
  <c r="AU984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930" i="3"/>
  <c r="AU930" i="3" s="1"/>
  <c r="AN1100" i="3"/>
  <c r="AN1101" i="3"/>
  <c r="AN1102" i="3"/>
  <c r="AN1103" i="3"/>
  <c r="AN1104" i="3"/>
  <c r="AN1105" i="3"/>
  <c r="AN1106" i="3"/>
  <c r="AN1107" i="3"/>
  <c r="AN1108" i="3"/>
  <c r="AN1109" i="3"/>
  <c r="AN1110" i="3"/>
  <c r="AN944" i="3"/>
  <c r="AN1111" i="3"/>
  <c r="AN1112" i="3"/>
  <c r="AN1113" i="3"/>
  <c r="AN1114" i="3"/>
  <c r="AN1115" i="3"/>
  <c r="AN1116" i="3"/>
  <c r="AN1117" i="3"/>
  <c r="AN1118" i="3"/>
  <c r="AN1001" i="3"/>
  <c r="AN1119" i="3"/>
  <c r="AU1015" i="3"/>
  <c r="AN1080" i="3"/>
  <c r="AN1120" i="3"/>
  <c r="AN1121" i="3"/>
  <c r="AN1122" i="3"/>
  <c r="AN1040" i="3"/>
  <c r="AN1123" i="3"/>
  <c r="AN1124" i="3"/>
  <c r="AN1147" i="3"/>
  <c r="AN1131" i="3"/>
  <c r="AU1132" i="3"/>
  <c r="AU1133" i="3"/>
  <c r="AU1134" i="3"/>
  <c r="AN1136" i="3"/>
  <c r="AU933" i="3"/>
  <c r="AU995" i="3"/>
  <c r="AN990" i="3"/>
  <c r="AN1137" i="3"/>
  <c r="AU992" i="3"/>
  <c r="AU998" i="3"/>
  <c r="AN1138" i="3"/>
  <c r="AN1139" i="3"/>
  <c r="AN1140" i="3"/>
  <c r="AN1141" i="3"/>
  <c r="AU994" i="3"/>
  <c r="AN1142" i="3"/>
  <c r="AN1143" i="3"/>
  <c r="AN1148" i="3"/>
  <c r="AN1144" i="3"/>
  <c r="AN1151" i="3"/>
  <c r="AN1152" i="3"/>
  <c r="AN1009" i="3"/>
  <c r="AN1153" i="3"/>
  <c r="AN942" i="3"/>
  <c r="AN943" i="3"/>
  <c r="AN1154" i="3"/>
  <c r="AN1041" i="3"/>
  <c r="AN1034" i="3"/>
  <c r="AN1155" i="3"/>
  <c r="AN1157" i="3"/>
  <c r="AN1158" i="3"/>
  <c r="AN1160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75" i="3"/>
  <c r="AU1175" i="3" s="1"/>
  <c r="AN1191" i="3"/>
  <c r="AU1191" i="3" s="1"/>
  <c r="AN1199" i="3"/>
  <c r="AU1199" i="3" s="1"/>
  <c r="AN1225" i="3"/>
  <c r="AU1225" i="3" s="1"/>
  <c r="AN1227" i="3"/>
  <c r="AU1227" i="3" s="1"/>
  <c r="AN1064" i="3"/>
  <c r="AN1065" i="3"/>
  <c r="AN1066" i="3"/>
  <c r="AN1072" i="3"/>
  <c r="AN1073" i="3"/>
  <c r="AN1159" i="3"/>
  <c r="AN1181" i="3"/>
  <c r="AU1181" i="3" s="1"/>
  <c r="AU118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29" i="3"/>
  <c r="AK963" i="3"/>
  <c r="AK964" i="3"/>
  <c r="AK966" i="3"/>
  <c r="AK967" i="3"/>
  <c r="AK968" i="3"/>
  <c r="AK969" i="3"/>
  <c r="AU969" i="3" s="1"/>
  <c r="AK918" i="3"/>
  <c r="AK1042" i="3"/>
  <c r="AK92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944" i="3"/>
  <c r="AK1111" i="3"/>
  <c r="AK1113" i="3"/>
  <c r="AK1114" i="3"/>
  <c r="AK1115" i="3"/>
  <c r="AK1116" i="3"/>
  <c r="AK1117" i="3"/>
  <c r="AK1118" i="3"/>
  <c r="AK1001" i="3"/>
  <c r="AK1014" i="3"/>
  <c r="AK1119" i="3"/>
  <c r="AK1120" i="3"/>
  <c r="AK1121" i="3"/>
  <c r="AK1122" i="3"/>
  <c r="AK1123" i="3"/>
  <c r="AK1124" i="3"/>
  <c r="AK1147" i="3"/>
  <c r="AK1131" i="3"/>
  <c r="AK1136" i="3"/>
  <c r="AK990" i="3"/>
  <c r="AK1137" i="3"/>
  <c r="AK1138" i="3"/>
  <c r="AK1139" i="3"/>
  <c r="AK1140" i="3"/>
  <c r="AK1141" i="3"/>
  <c r="AK1142" i="3"/>
  <c r="AK1143" i="3"/>
  <c r="AK1148" i="3"/>
  <c r="AK1144" i="3"/>
  <c r="AK1152" i="3"/>
  <c r="AK1009" i="3"/>
  <c r="AK1153" i="3"/>
  <c r="AK942" i="3"/>
  <c r="AK943" i="3"/>
  <c r="AK1154" i="3"/>
  <c r="AK1041" i="3"/>
  <c r="AK1034" i="3"/>
  <c r="AK1155" i="3"/>
  <c r="AK1157" i="3"/>
  <c r="AK1158" i="3"/>
  <c r="AK1160" i="3"/>
  <c r="AK974" i="3"/>
  <c r="AK970" i="3"/>
  <c r="AK971" i="3"/>
  <c r="AK947" i="3"/>
  <c r="AK948" i="3"/>
  <c r="AK949" i="3"/>
  <c r="AK1006" i="3"/>
  <c r="AK973" i="3"/>
  <c r="AK1064" i="3"/>
  <c r="AK1065" i="3"/>
  <c r="AK1066" i="3"/>
  <c r="AK1072" i="3"/>
  <c r="AK1073" i="3"/>
  <c r="AK1159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29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7" i="3"/>
  <c r="S1027" i="3"/>
  <c r="BG1027" i="3"/>
  <c r="BF1027" i="3"/>
  <c r="BE1027" i="3"/>
  <c r="AY1027" i="3"/>
  <c r="AC1027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29" i="3"/>
  <c r="BG963" i="3"/>
  <c r="BG964" i="3"/>
  <c r="BG965" i="3"/>
  <c r="BG966" i="3"/>
  <c r="BG967" i="3"/>
  <c r="BG968" i="3"/>
  <c r="BG969" i="3"/>
  <c r="BG959" i="3"/>
  <c r="BG875" i="3"/>
  <c r="BG918" i="3"/>
  <c r="BG923" i="3"/>
  <c r="BG1030" i="3"/>
  <c r="BG1042" i="3"/>
  <c r="BG920" i="3"/>
  <c r="BG983" i="3"/>
  <c r="BG984" i="3"/>
  <c r="BG1081" i="3"/>
  <c r="BG1082" i="3"/>
  <c r="BG1083" i="3"/>
  <c r="BG1084" i="3"/>
  <c r="BG1085" i="3"/>
  <c r="BG1086" i="3"/>
  <c r="BG1087" i="3"/>
  <c r="BG1088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944" i="3"/>
  <c r="BG1111" i="3"/>
  <c r="BG1112" i="3"/>
  <c r="BG1113" i="3"/>
  <c r="BG1114" i="3"/>
  <c r="BG1115" i="3"/>
  <c r="BG1116" i="3"/>
  <c r="BG1117" i="3"/>
  <c r="BG1118" i="3"/>
  <c r="BG1001" i="3"/>
  <c r="BG1014" i="3"/>
  <c r="BG1119" i="3"/>
  <c r="BG1015" i="3"/>
  <c r="BG1079" i="3"/>
  <c r="BG1080" i="3"/>
  <c r="BG1120" i="3"/>
  <c r="BG1121" i="3"/>
  <c r="BG1122" i="3"/>
  <c r="BG1040" i="3"/>
  <c r="BG1123" i="3"/>
  <c r="BG1124" i="3"/>
  <c r="BG1147" i="3"/>
  <c r="BG1131" i="3"/>
  <c r="BG1132" i="3"/>
  <c r="BG1133" i="3"/>
  <c r="BG1134" i="3"/>
  <c r="BG1136" i="3"/>
  <c r="BG933" i="3"/>
  <c r="BG995" i="3"/>
  <c r="BG990" i="3"/>
  <c r="BG1137" i="3"/>
  <c r="BG992" i="3"/>
  <c r="BG998" i="3"/>
  <c r="BG1138" i="3"/>
  <c r="BG1139" i="3"/>
  <c r="BG1140" i="3"/>
  <c r="BG1141" i="3"/>
  <c r="BG994" i="3"/>
  <c r="BG1142" i="3"/>
  <c r="BG1143" i="3"/>
  <c r="BG1148" i="3"/>
  <c r="BG1144" i="3"/>
  <c r="BG1151" i="3"/>
  <c r="BG924" i="3"/>
  <c r="BG1152" i="3"/>
  <c r="BG1009" i="3"/>
  <c r="BG1153" i="3"/>
  <c r="BG942" i="3"/>
  <c r="BG943" i="3"/>
  <c r="BG1154" i="3"/>
  <c r="BG1041" i="3"/>
  <c r="BG1034" i="3"/>
  <c r="BG1155" i="3"/>
  <c r="BG1157" i="3"/>
  <c r="BG1158" i="3"/>
  <c r="BG1160" i="3"/>
  <c r="BG926" i="3"/>
  <c r="BG1161" i="3"/>
  <c r="BG1162" i="3"/>
  <c r="BG997" i="3"/>
  <c r="BG991" i="3"/>
  <c r="BG1163" i="3"/>
  <c r="BG989" i="3"/>
  <c r="BG974" i="3"/>
  <c r="BG938" i="3"/>
  <c r="BG941" i="3"/>
  <c r="BG1164" i="3"/>
  <c r="BG1010" i="3"/>
  <c r="BG1026" i="3"/>
  <c r="BG1028" i="3"/>
  <c r="BG952" i="3"/>
  <c r="BG1168" i="3"/>
  <c r="BG1012" i="3"/>
  <c r="BG960" i="3"/>
  <c r="BG954" i="3"/>
  <c r="BG955" i="3"/>
  <c r="BG961" i="3"/>
  <c r="BG970" i="3"/>
  <c r="BG971" i="3"/>
  <c r="BG1129" i="3"/>
  <c r="BG1130" i="3"/>
  <c r="BG1053" i="3"/>
  <c r="BG1145" i="3"/>
  <c r="BG1171" i="3"/>
  <c r="BG1022" i="3"/>
  <c r="BG1170" i="3"/>
  <c r="BG1023" i="3"/>
  <c r="BG1013" i="3"/>
  <c r="BG1046" i="3"/>
  <c r="BG1173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75" i="3"/>
  <c r="BG928" i="3"/>
  <c r="BG1191" i="3"/>
  <c r="BG1199" i="3"/>
  <c r="BG1225" i="3"/>
  <c r="BG1227" i="3"/>
  <c r="BG1064" i="3"/>
  <c r="BG1065" i="3"/>
  <c r="BG1066" i="3"/>
  <c r="BG1072" i="3"/>
  <c r="BG1073" i="3"/>
  <c r="BG1159" i="3"/>
  <c r="BG972" i="3"/>
  <c r="BG996" i="3"/>
  <c r="BG1181" i="3"/>
  <c r="BG1185" i="3"/>
  <c r="U1012" i="3"/>
  <c r="BH1012" i="3"/>
  <c r="S1012" i="3"/>
  <c r="BF1012" i="3"/>
  <c r="BE1012" i="3"/>
  <c r="AX1012" i="3"/>
  <c r="AY1012" i="3" s="1"/>
  <c r="AC1012" i="3"/>
  <c r="F1012" i="3" a="1"/>
  <c r="C1012" i="3"/>
  <c r="F1185" i="3" a="1"/>
  <c r="F1181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X29" i="122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7" i="70"/>
  <c r="AS237" i="70"/>
  <c r="AA237" i="70"/>
  <c r="X237" i="70"/>
  <c r="C237" i="70"/>
  <c r="BC238" i="70"/>
  <c r="AS238" i="70"/>
  <c r="AA238" i="70"/>
  <c r="X238" i="70"/>
  <c r="C238" i="70"/>
  <c r="BC244" i="70"/>
  <c r="AS244" i="70"/>
  <c r="AA244" i="70"/>
  <c r="X244" i="70"/>
  <c r="C244" i="70"/>
  <c r="BC233" i="70"/>
  <c r="AS233" i="70"/>
  <c r="AA233" i="70"/>
  <c r="X233" i="70"/>
  <c r="C233" i="70"/>
  <c r="BC234" i="70"/>
  <c r="AS234" i="70"/>
  <c r="AA234" i="70"/>
  <c r="X234" i="70"/>
  <c r="C234" i="70"/>
  <c r="BC232" i="70"/>
  <c r="AS232" i="70"/>
  <c r="AA232" i="70"/>
  <c r="X232" i="70"/>
  <c r="C232" i="70"/>
  <c r="BC235" i="70"/>
  <c r="AS235" i="70"/>
  <c r="AA235" i="70"/>
  <c r="X235" i="70"/>
  <c r="C235" i="70"/>
  <c r="BC236" i="70"/>
  <c r="AS236" i="70"/>
  <c r="AA236" i="70"/>
  <c r="X236" i="70"/>
  <c r="C236" i="70"/>
  <c r="BC245" i="70"/>
  <c r="AS245" i="70"/>
  <c r="AA245" i="70"/>
  <c r="X245" i="70"/>
  <c r="C245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X1001" i="3" s="1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2" i="3"/>
  <c r="AM1034" i="3"/>
  <c r="AM942" i="3"/>
  <c r="AM943" i="3"/>
  <c r="AM1151" i="3"/>
  <c r="AM1152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2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81" i="3"/>
  <c r="C1185" i="3"/>
  <c r="AC1181" i="3"/>
  <c r="AC1185" i="3"/>
  <c r="AY1181" i="3"/>
  <c r="AY1185" i="3"/>
  <c r="BE1181" i="3"/>
  <c r="BE1185" i="3"/>
  <c r="BF1181" i="3"/>
  <c r="BF1185" i="3"/>
  <c r="S1181" i="3"/>
  <c r="S1185" i="3"/>
  <c r="BH1181" i="3"/>
  <c r="BH1185" i="3"/>
  <c r="AY1144" i="3"/>
  <c r="BE1144" i="3"/>
  <c r="BF1144" i="3"/>
  <c r="S1144" i="3"/>
  <c r="BH1144" i="3"/>
  <c r="AC1144" i="3"/>
  <c r="C1144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4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59" i="3"/>
  <c r="S1159" i="3"/>
  <c r="BF1159" i="3"/>
  <c r="BE1159" i="3"/>
  <c r="AY1159" i="3"/>
  <c r="AC1159" i="3"/>
  <c r="U213" i="70"/>
  <c r="U214" i="70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W1064" i="3"/>
  <c r="W1065" i="3"/>
  <c r="V1073" i="3"/>
  <c r="V1072" i="3"/>
  <c r="F1073" i="3" a="1"/>
  <c r="F1072" i="3" a="1"/>
  <c r="F1066" i="3" a="1"/>
  <c r="F1065" i="3" a="1"/>
  <c r="F1064" i="3" a="1"/>
  <c r="C1064" i="3"/>
  <c r="AC1064" i="3"/>
  <c r="AY1064" i="3"/>
  <c r="BE1064" i="3"/>
  <c r="BF1064" i="3"/>
  <c r="S1064" i="3"/>
  <c r="BH1064" i="3"/>
  <c r="C1065" i="3"/>
  <c r="AC1065" i="3"/>
  <c r="AY1065" i="3"/>
  <c r="BE1065" i="3"/>
  <c r="BF1065" i="3"/>
  <c r="S1065" i="3"/>
  <c r="BH1065" i="3"/>
  <c r="C1066" i="3"/>
  <c r="AC1066" i="3"/>
  <c r="AY1066" i="3"/>
  <c r="BE1066" i="3"/>
  <c r="BF1066" i="3"/>
  <c r="S1066" i="3"/>
  <c r="BH1066" i="3"/>
  <c r="C1072" i="3"/>
  <c r="AC1072" i="3"/>
  <c r="AY1072" i="3"/>
  <c r="BE1072" i="3"/>
  <c r="BF1072" i="3"/>
  <c r="S1072" i="3"/>
  <c r="BH1072" i="3"/>
  <c r="C1073" i="3"/>
  <c r="AC1073" i="3"/>
  <c r="AY1073" i="3"/>
  <c r="BE1073" i="3"/>
  <c r="BF1073" i="3"/>
  <c r="S1073" i="3"/>
  <c r="BH1073" i="3"/>
  <c r="R47" i="122"/>
  <c r="F1023" i="3" a="1"/>
  <c r="F1053" i="3" a="1"/>
  <c r="F1130" i="3" a="1"/>
  <c r="U1023" i="3"/>
  <c r="V1023" i="3" s="1"/>
  <c r="BH1023" i="3"/>
  <c r="S1023" i="3"/>
  <c r="BF1023" i="3"/>
  <c r="BE1023" i="3"/>
  <c r="AX1023" i="3"/>
  <c r="AY1023" i="3" s="1"/>
  <c r="AC1023" i="3"/>
  <c r="C1023" i="3"/>
  <c r="BH1053" i="3"/>
  <c r="S1053" i="3"/>
  <c r="BF1053" i="3"/>
  <c r="BE1053" i="3"/>
  <c r="AX1053" i="3"/>
  <c r="AY1053" i="3" s="1"/>
  <c r="AC1053" i="3"/>
  <c r="C1053" i="3"/>
  <c r="BH1130" i="3"/>
  <c r="S1130" i="3"/>
  <c r="BF1130" i="3"/>
  <c r="BE1130" i="3"/>
  <c r="AX1130" i="3"/>
  <c r="AY1130" i="3" s="1"/>
  <c r="AC1130" i="3"/>
  <c r="C1130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27" i="3"/>
  <c r="C1225" i="3"/>
  <c r="C1199" i="3"/>
  <c r="C1191" i="3"/>
  <c r="C1175" i="3"/>
  <c r="C1173" i="3"/>
  <c r="C1170" i="3"/>
  <c r="C1129" i="3"/>
  <c r="C1168" i="3"/>
  <c r="C1164" i="3"/>
  <c r="C1163" i="3"/>
  <c r="C1162" i="3"/>
  <c r="C1155" i="3"/>
  <c r="C992" i="3"/>
  <c r="C1137" i="3"/>
  <c r="C933" i="3"/>
  <c r="C1136" i="3"/>
  <c r="C1131" i="3"/>
  <c r="C1119" i="3"/>
  <c r="C1118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V937" i="3" s="1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48" i="3" a="1"/>
  <c r="F896" i="3" a="1"/>
  <c r="U1148" i="3"/>
  <c r="V1148" i="3" s="1"/>
  <c r="U896" i="3"/>
  <c r="V896" i="3" s="1"/>
  <c r="AX1148" i="3"/>
  <c r="AY1148" i="3" s="1"/>
  <c r="AX896" i="3"/>
  <c r="AY896" i="3" s="1"/>
  <c r="BH1148" i="3"/>
  <c r="S1148" i="3"/>
  <c r="BF1148" i="3"/>
  <c r="BE1148" i="3"/>
  <c r="AC1148" i="3"/>
  <c r="C1148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2" i="3" a="1"/>
  <c r="F1041" i="3" a="1"/>
  <c r="F1030" i="3" a="1"/>
  <c r="BH1042" i="3"/>
  <c r="S1042" i="3"/>
  <c r="BF1042" i="3"/>
  <c r="X1042" i="3" s="1"/>
  <c r="BE1042" i="3"/>
  <c r="AX1042" i="3"/>
  <c r="AY1042" i="3" s="1"/>
  <c r="AC1042" i="3"/>
  <c r="C1042" i="3"/>
  <c r="BH1041" i="3"/>
  <c r="S1041" i="3"/>
  <c r="BF1041" i="3"/>
  <c r="BE1041" i="3"/>
  <c r="AX1041" i="3"/>
  <c r="AY1041" i="3" s="1"/>
  <c r="AC1041" i="3"/>
  <c r="C1041" i="3"/>
  <c r="BH1030" i="3"/>
  <c r="S1030" i="3"/>
  <c r="BF1030" i="3"/>
  <c r="BE1030" i="3"/>
  <c r="AX1030" i="3"/>
  <c r="AY1030" i="3" s="1"/>
  <c r="AC1030" i="3"/>
  <c r="C1030" i="3"/>
  <c r="U1028" i="3"/>
  <c r="V1028" i="3" s="1"/>
  <c r="V1026" i="3"/>
  <c r="F1028" i="3" a="1"/>
  <c r="F1026" i="3" a="1"/>
  <c r="BH1028" i="3"/>
  <c r="S1028" i="3"/>
  <c r="BF1028" i="3"/>
  <c r="BE1028" i="3"/>
  <c r="AX1028" i="3"/>
  <c r="AY1028" i="3" s="1"/>
  <c r="AC1028" i="3"/>
  <c r="C1028" i="3"/>
  <c r="BH1026" i="3"/>
  <c r="S1026" i="3"/>
  <c r="BF1026" i="3"/>
  <c r="BE1026" i="3"/>
  <c r="AY1026" i="3"/>
  <c r="AC1026" i="3"/>
  <c r="C1026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4" i="3"/>
  <c r="AY1034" i="3" s="1"/>
  <c r="BH1034" i="3"/>
  <c r="S1034" i="3"/>
  <c r="BF1034" i="3"/>
  <c r="X1034" i="3" s="1"/>
  <c r="BE1034" i="3"/>
  <c r="W1034" i="3" s="1"/>
  <c r="C1034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1" i="70"/>
  <c r="X231" i="70"/>
  <c r="AA231" i="70"/>
  <c r="AS231" i="70"/>
  <c r="BC23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2" i="3"/>
  <c r="V1022" i="3" s="1"/>
  <c r="U1171" i="3"/>
  <c r="V1171" i="3" s="1"/>
  <c r="BH1046" i="3"/>
  <c r="S1046" i="3"/>
  <c r="BF1046" i="3"/>
  <c r="BE1046" i="3"/>
  <c r="AX1046" i="3"/>
  <c r="AY1046" i="3" s="1"/>
  <c r="AC1046" i="3"/>
  <c r="F1046" i="3" a="1"/>
  <c r="C1046" i="3"/>
  <c r="BH1013" i="3"/>
  <c r="S1013" i="3"/>
  <c r="BF1013" i="3"/>
  <c r="BE1013" i="3"/>
  <c r="AX1013" i="3"/>
  <c r="AY1013" i="3" s="1"/>
  <c r="AC1013" i="3"/>
  <c r="F1013" i="3" a="1"/>
  <c r="C1013" i="3"/>
  <c r="BH1022" i="3"/>
  <c r="S1022" i="3"/>
  <c r="BF1022" i="3"/>
  <c r="BE1022" i="3"/>
  <c r="AX1022" i="3"/>
  <c r="AY1022" i="3" s="1"/>
  <c r="AC1022" i="3"/>
  <c r="F1022" i="3" a="1"/>
  <c r="C1022" i="3"/>
  <c r="BH1171" i="3"/>
  <c r="S1171" i="3"/>
  <c r="BF1171" i="3"/>
  <c r="BE1171" i="3"/>
  <c r="AX1171" i="3"/>
  <c r="AY1171" i="3" s="1"/>
  <c r="AC1171" i="3"/>
  <c r="F1171" i="3" a="1"/>
  <c r="C1171" i="3"/>
  <c r="BH1145" i="3"/>
  <c r="S1145" i="3"/>
  <c r="BF1145" i="3"/>
  <c r="BE1145" i="3"/>
  <c r="AX1145" i="3"/>
  <c r="AY1145" i="3" s="1"/>
  <c r="AC1145" i="3"/>
  <c r="F1145" i="3" a="1"/>
  <c r="C1145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25" i="3" a="1"/>
  <c r="F1227" i="3" a="1"/>
  <c r="AC1191" i="3"/>
  <c r="AC1199" i="3"/>
  <c r="AC1225" i="3"/>
  <c r="AC1227" i="3"/>
  <c r="AY1191" i="3"/>
  <c r="AY1199" i="3"/>
  <c r="AY1225" i="3"/>
  <c r="AY1227" i="3"/>
  <c r="BE1191" i="3"/>
  <c r="BE1199" i="3"/>
  <c r="BE1225" i="3"/>
  <c r="BE1227" i="3"/>
  <c r="BF1191" i="3"/>
  <c r="BF1199" i="3"/>
  <c r="BF1225" i="3"/>
  <c r="BF1227" i="3"/>
  <c r="S1191" i="3"/>
  <c r="S1199" i="3"/>
  <c r="S1225" i="3"/>
  <c r="S1227" i="3"/>
  <c r="BH1191" i="3"/>
  <c r="BH1199" i="3"/>
  <c r="BH1225" i="3"/>
  <c r="BH1227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75" i="3"/>
  <c r="AY1175" i="3"/>
  <c r="BE1175" i="3"/>
  <c r="BF1175" i="3"/>
  <c r="S1175" i="3"/>
  <c r="BH1175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73" i="3"/>
  <c r="AY1170" i="3"/>
  <c r="AY1129" i="3"/>
  <c r="AY1168" i="3"/>
  <c r="AY1164" i="3"/>
  <c r="AY1163" i="3"/>
  <c r="AX991" i="3"/>
  <c r="AY991" i="3" s="1"/>
  <c r="AX997" i="3"/>
  <c r="AY997" i="3" s="1"/>
  <c r="AY1162" i="3"/>
  <c r="AX916" i="3"/>
  <c r="AY916" i="3" s="1"/>
  <c r="AY1161" i="3"/>
  <c r="AX924" i="3"/>
  <c r="AY924" i="3" s="1"/>
  <c r="AY918" i="3"/>
  <c r="AX895" i="3"/>
  <c r="AY895" i="3" s="1"/>
  <c r="AY1160" i="3"/>
  <c r="AY1158" i="3"/>
  <c r="AX855" i="3"/>
  <c r="AY855" i="3" s="1"/>
  <c r="AX816" i="3"/>
  <c r="AY816" i="3" s="1"/>
  <c r="AX818" i="3"/>
  <c r="AY818" i="3" s="1"/>
  <c r="AY1157" i="3"/>
  <c r="AY1155" i="3"/>
  <c r="AY1154" i="3"/>
  <c r="AX942" i="3"/>
  <c r="AY942" i="3" s="1"/>
  <c r="AY1153" i="3"/>
  <c r="AX781" i="3"/>
  <c r="AY781" i="3" s="1"/>
  <c r="AX857" i="3"/>
  <c r="AY857" i="3" s="1"/>
  <c r="AX824" i="3"/>
  <c r="AY824" i="3" s="1"/>
  <c r="AX1152" i="3"/>
  <c r="AY1152" i="3" s="1"/>
  <c r="AX1151" i="3"/>
  <c r="AY1151" i="3" s="1"/>
  <c r="AX858" i="3"/>
  <c r="AY858" i="3" s="1"/>
  <c r="AX770" i="3"/>
  <c r="AY770" i="3" s="1"/>
  <c r="AX885" i="3"/>
  <c r="AY885" i="3" s="1"/>
  <c r="AX850" i="3"/>
  <c r="AY850" i="3" s="1"/>
  <c r="AY1143" i="3"/>
  <c r="AY1142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41" i="3"/>
  <c r="AX881" i="3"/>
  <c r="AY881" i="3" s="1"/>
  <c r="AX930" i="3"/>
  <c r="AY930" i="3" s="1"/>
  <c r="AY1140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39" i="3"/>
  <c r="AX788" i="3"/>
  <c r="AY788" i="3" s="1"/>
  <c r="AX883" i="3"/>
  <c r="AY883" i="3" s="1"/>
  <c r="AY1138" i="3"/>
  <c r="AX886" i="3"/>
  <c r="AY886" i="3" s="1"/>
  <c r="AY1137" i="3"/>
  <c r="AX990" i="3"/>
  <c r="AY990" i="3" s="1"/>
  <c r="AX995" i="3"/>
  <c r="AY995" i="3" s="1"/>
  <c r="AY1136" i="3"/>
  <c r="AX912" i="3"/>
  <c r="AY912" i="3" s="1"/>
  <c r="AX841" i="3"/>
  <c r="AY841" i="3" s="1"/>
  <c r="AX1134" i="3"/>
  <c r="AY1134" i="3" s="1"/>
  <c r="AX1133" i="3"/>
  <c r="AY1133" i="3" s="1"/>
  <c r="AX1132" i="3"/>
  <c r="AY1132" i="3" s="1"/>
  <c r="AX829" i="3"/>
  <c r="AY829" i="3" s="1"/>
  <c r="AY1131" i="3"/>
  <c r="AX1147" i="3"/>
  <c r="AY1147" i="3" s="1"/>
  <c r="AX830" i="3"/>
  <c r="AY830" i="3" s="1"/>
  <c r="AY1124" i="3"/>
  <c r="AX805" i="3"/>
  <c r="AY805" i="3" s="1"/>
  <c r="AY1123" i="3"/>
  <c r="AX1040" i="3"/>
  <c r="AY1040" i="3" s="1"/>
  <c r="AX843" i="3"/>
  <c r="AY843" i="3" s="1"/>
  <c r="AY1122" i="3"/>
  <c r="AX1121" i="3"/>
  <c r="AY1121" i="3" s="1"/>
  <c r="AX1120" i="3"/>
  <c r="AY1120" i="3" s="1"/>
  <c r="AX1080" i="3"/>
  <c r="AY1080" i="3" s="1"/>
  <c r="AY1079" i="3"/>
  <c r="AY1119" i="3"/>
  <c r="AX822" i="3"/>
  <c r="AY822" i="3" s="1"/>
  <c r="AX1014" i="3"/>
  <c r="AY1014" i="3" s="1"/>
  <c r="AX853" i="3"/>
  <c r="AY853" i="3" s="1"/>
  <c r="AX821" i="3"/>
  <c r="AY821" i="3" s="1"/>
  <c r="AY1118" i="3"/>
  <c r="AX809" i="3"/>
  <c r="AY809" i="3" s="1"/>
  <c r="AX803" i="3"/>
  <c r="AY803" i="3" s="1"/>
  <c r="AY1117" i="3"/>
  <c r="AY1116" i="3"/>
  <c r="AY1115" i="3"/>
  <c r="AX1114" i="3"/>
  <c r="AY1114" i="3" s="1"/>
  <c r="AX1113" i="3"/>
  <c r="AY1113" i="3" s="1"/>
  <c r="AX820" i="3"/>
  <c r="AY820" i="3" s="1"/>
  <c r="AY1112" i="3"/>
  <c r="AX769" i="3"/>
  <c r="AY769" i="3" s="1"/>
  <c r="AY1111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110" i="3"/>
  <c r="AY1109" i="3"/>
  <c r="AX911" i="3"/>
  <c r="AY911" i="3" s="1"/>
  <c r="AX908" i="3"/>
  <c r="AY908" i="3" s="1"/>
  <c r="AY1108" i="3"/>
  <c r="AY1107" i="3"/>
  <c r="AY1106" i="3"/>
  <c r="AX957" i="3"/>
  <c r="AY957" i="3" s="1"/>
  <c r="AX904" i="3"/>
  <c r="AY904" i="3" s="1"/>
  <c r="AX958" i="3"/>
  <c r="AY958" i="3" s="1"/>
  <c r="AX953" i="3"/>
  <c r="AY953" i="3" s="1"/>
  <c r="AY1105" i="3"/>
  <c r="AY1104" i="3"/>
  <c r="AY1103" i="3"/>
  <c r="AY1102" i="3"/>
  <c r="AY1101" i="3"/>
  <c r="AY1100" i="3"/>
  <c r="AY1099" i="3"/>
  <c r="AY1098" i="3"/>
  <c r="AY1097" i="3"/>
  <c r="AY1096" i="3"/>
  <c r="AX907" i="3"/>
  <c r="AY907" i="3" s="1"/>
  <c r="AY1095" i="3"/>
  <c r="AY1094" i="3"/>
  <c r="AY1093" i="3"/>
  <c r="AY1092" i="3"/>
  <c r="AY1091" i="3"/>
  <c r="AY1090" i="3"/>
  <c r="AY1089" i="3"/>
  <c r="AY1088" i="3"/>
  <c r="AY1087" i="3"/>
  <c r="AY1086" i="3"/>
  <c r="AY1085" i="3"/>
  <c r="AY1084" i="3"/>
  <c r="AY1083" i="3"/>
  <c r="AX783" i="3"/>
  <c r="AY783" i="3" s="1"/>
  <c r="AX782" i="3"/>
  <c r="AY782" i="3" s="1"/>
  <c r="AY1082" i="3"/>
  <c r="AY1081" i="3"/>
  <c r="AY1029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73" i="3"/>
  <c r="S1170" i="3"/>
  <c r="S1129" i="3"/>
  <c r="S1168" i="3"/>
  <c r="S1164" i="3"/>
  <c r="S1163" i="3"/>
  <c r="S991" i="3"/>
  <c r="S997" i="3"/>
  <c r="S1162" i="3"/>
  <c r="S916" i="3"/>
  <c r="S1161" i="3"/>
  <c r="S924" i="3"/>
  <c r="S918" i="3"/>
  <c r="S895" i="3"/>
  <c r="S1160" i="3"/>
  <c r="S1158" i="3"/>
  <c r="S855" i="3"/>
  <c r="S816" i="3"/>
  <c r="S818" i="3"/>
  <c r="S1157" i="3"/>
  <c r="S1155" i="3"/>
  <c r="S1154" i="3"/>
  <c r="S942" i="3"/>
  <c r="S1153" i="3"/>
  <c r="S781" i="3"/>
  <c r="S857" i="3"/>
  <c r="S824" i="3"/>
  <c r="S1152" i="3"/>
  <c r="S1151" i="3"/>
  <c r="S858" i="3"/>
  <c r="S770" i="3"/>
  <c r="S885" i="3"/>
  <c r="S850" i="3"/>
  <c r="S1143" i="3"/>
  <c r="S1142" i="3"/>
  <c r="S847" i="3"/>
  <c r="S868" i="3"/>
  <c r="S806" i="3"/>
  <c r="S994" i="3"/>
  <c r="S882" i="3"/>
  <c r="S1141" i="3"/>
  <c r="S881" i="3"/>
  <c r="S930" i="3"/>
  <c r="S1140" i="3"/>
  <c r="S893" i="3"/>
  <c r="S846" i="3"/>
  <c r="S866" i="3"/>
  <c r="S827" i="3"/>
  <c r="S831" i="3"/>
  <c r="S1139" i="3"/>
  <c r="S788" i="3"/>
  <c r="S883" i="3"/>
  <c r="S1138" i="3"/>
  <c r="S886" i="3"/>
  <c r="S1137" i="3"/>
  <c r="S990" i="3"/>
  <c r="S995" i="3"/>
  <c r="S1136" i="3"/>
  <c r="S912" i="3"/>
  <c r="S841" i="3"/>
  <c r="S1134" i="3"/>
  <c r="S1133" i="3"/>
  <c r="S1132" i="3"/>
  <c r="S829" i="3"/>
  <c r="S1131" i="3"/>
  <c r="S1147" i="3"/>
  <c r="S830" i="3"/>
  <c r="S1124" i="3"/>
  <c r="S805" i="3"/>
  <c r="S1123" i="3"/>
  <c r="S1040" i="3"/>
  <c r="S843" i="3"/>
  <c r="S1122" i="3"/>
  <c r="S1121" i="3"/>
  <c r="S1120" i="3"/>
  <c r="S1080" i="3"/>
  <c r="S1079" i="3"/>
  <c r="S1119" i="3"/>
  <c r="S822" i="3"/>
  <c r="S1014" i="3"/>
  <c r="S853" i="3"/>
  <c r="S821" i="3"/>
  <c r="S1118" i="3"/>
  <c r="S809" i="3"/>
  <c r="S803" i="3"/>
  <c r="S1117" i="3"/>
  <c r="S1116" i="3"/>
  <c r="S1115" i="3"/>
  <c r="S1114" i="3"/>
  <c r="S1113" i="3"/>
  <c r="S820" i="3"/>
  <c r="S1112" i="3"/>
  <c r="S769" i="3"/>
  <c r="S1111" i="3"/>
  <c r="S807" i="3"/>
  <c r="S772" i="3"/>
  <c r="S771" i="3"/>
  <c r="S859" i="3"/>
  <c r="S944" i="3"/>
  <c r="S776" i="3"/>
  <c r="S775" i="3"/>
  <c r="S774" i="3"/>
  <c r="S773" i="3"/>
  <c r="S1110" i="3"/>
  <c r="S1109" i="3"/>
  <c r="S911" i="3"/>
  <c r="S908" i="3"/>
  <c r="S1108" i="3"/>
  <c r="S1107" i="3"/>
  <c r="S1106" i="3"/>
  <c r="S957" i="3"/>
  <c r="S904" i="3"/>
  <c r="S958" i="3"/>
  <c r="S953" i="3"/>
  <c r="S1105" i="3"/>
  <c r="S1104" i="3"/>
  <c r="S1103" i="3"/>
  <c r="S1102" i="3"/>
  <c r="S1101" i="3"/>
  <c r="S1100" i="3"/>
  <c r="S1099" i="3"/>
  <c r="S1098" i="3"/>
  <c r="S1097" i="3"/>
  <c r="S1096" i="3"/>
  <c r="S907" i="3"/>
  <c r="S1095" i="3"/>
  <c r="S1094" i="3"/>
  <c r="S1093" i="3"/>
  <c r="S1092" i="3"/>
  <c r="S1091" i="3"/>
  <c r="S1090" i="3"/>
  <c r="S1089" i="3"/>
  <c r="S1088" i="3"/>
  <c r="S1087" i="3"/>
  <c r="S1086" i="3"/>
  <c r="S1085" i="3"/>
  <c r="S1084" i="3"/>
  <c r="S1083" i="3"/>
  <c r="S783" i="3"/>
  <c r="S782" i="3"/>
  <c r="S1082" i="3"/>
  <c r="S1081" i="3"/>
  <c r="S1029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52" i="3"/>
  <c r="BF1152" i="3"/>
  <c r="BE1152" i="3"/>
  <c r="AC1152" i="3"/>
  <c r="F1152" i="3" a="1"/>
  <c r="C1152" i="3"/>
  <c r="BH1151" i="3"/>
  <c r="BF1151" i="3"/>
  <c r="BE1151" i="3"/>
  <c r="AC1151" i="3"/>
  <c r="C1151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47" i="3"/>
  <c r="F1147" i="3" a="1"/>
  <c r="BH1147" i="3"/>
  <c r="BF1147" i="3"/>
  <c r="BE1147" i="3"/>
  <c r="AC1147" i="3"/>
  <c r="C1147" i="3"/>
  <c r="F1121" i="3" a="1"/>
  <c r="F1120" i="3" a="1"/>
  <c r="F1080" i="3" a="1"/>
  <c r="U1121" i="3"/>
  <c r="F1079" i="3" a="1"/>
  <c r="C1079" i="3"/>
  <c r="V1079" i="3"/>
  <c r="AC1079" i="3"/>
  <c r="BE1079" i="3"/>
  <c r="W1079" i="3" s="1"/>
  <c r="BF1079" i="3"/>
  <c r="BH1079" i="3"/>
  <c r="C1080" i="3"/>
  <c r="AC1080" i="3"/>
  <c r="BE1080" i="3"/>
  <c r="BF1080" i="3"/>
  <c r="BH1080" i="3"/>
  <c r="C1120" i="3"/>
  <c r="AC1120" i="3"/>
  <c r="BE1120" i="3"/>
  <c r="BF1120" i="3"/>
  <c r="BH1120" i="3"/>
  <c r="C1121" i="3"/>
  <c r="AC1121" i="3"/>
  <c r="BE1121" i="3"/>
  <c r="BF1121" i="3"/>
  <c r="BH1121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64" i="3"/>
  <c r="BH1168" i="3"/>
  <c r="BH1129" i="3"/>
  <c r="BH1170" i="3"/>
  <c r="BH1173" i="3"/>
  <c r="BH915" i="3"/>
  <c r="BF1164" i="3"/>
  <c r="BF1168" i="3"/>
  <c r="BF1129" i="3"/>
  <c r="BF1170" i="3"/>
  <c r="BF1173" i="3"/>
  <c r="BF915" i="3"/>
  <c r="BE1164" i="3"/>
  <c r="BE1168" i="3"/>
  <c r="BE1129" i="3"/>
  <c r="BE1170" i="3"/>
  <c r="BE1173" i="3"/>
  <c r="BE915" i="3"/>
  <c r="AC1164" i="3"/>
  <c r="AC1168" i="3"/>
  <c r="AC1129" i="3"/>
  <c r="AC1170" i="3"/>
  <c r="AC1173" i="3"/>
  <c r="AC915" i="3"/>
  <c r="C915" i="3"/>
  <c r="BH1162" i="3"/>
  <c r="BH1163" i="3"/>
  <c r="BF1162" i="3"/>
  <c r="BF1163" i="3"/>
  <c r="BE1162" i="3"/>
  <c r="BE1163" i="3"/>
  <c r="AC1162" i="3"/>
  <c r="AC1163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61" i="3"/>
  <c r="AC1161" i="3"/>
  <c r="BE1161" i="3"/>
  <c r="BF1161" i="3"/>
  <c r="BH1161" i="3"/>
  <c r="C1160" i="3"/>
  <c r="AC1160" i="3"/>
  <c r="BE1160" i="3"/>
  <c r="BF1160" i="3"/>
  <c r="BH1160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6" i="70"/>
  <c r="X277" i="70"/>
  <c r="X278" i="70"/>
  <c r="X279" i="70"/>
  <c r="X280" i="70"/>
  <c r="X281" i="70"/>
  <c r="P93" i="122"/>
  <c r="O93" i="122"/>
  <c r="O73" i="122"/>
  <c r="P47" i="122"/>
  <c r="U1133" i="3"/>
  <c r="V1133" i="3" s="1"/>
  <c r="U1132" i="3"/>
  <c r="BH1132" i="3"/>
  <c r="BF1132" i="3"/>
  <c r="BE1132" i="3"/>
  <c r="AC1132" i="3"/>
  <c r="F1132" i="3" a="1"/>
  <c r="C113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0" i="3" a="1"/>
  <c r="U805" i="3"/>
  <c r="V805" i="3" s="1"/>
  <c r="U843" i="3"/>
  <c r="V843" i="3" s="1"/>
  <c r="BH1040" i="3"/>
  <c r="BF1040" i="3"/>
  <c r="BE1040" i="3"/>
  <c r="AC1040" i="3"/>
  <c r="C1040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40" i="3"/>
  <c r="C1141" i="3"/>
  <c r="C1142" i="3"/>
  <c r="C1143" i="3"/>
  <c r="C1153" i="3"/>
  <c r="C1154" i="3"/>
  <c r="C1157" i="3"/>
  <c r="C1158" i="3"/>
  <c r="AC1140" i="3"/>
  <c r="AC1141" i="3"/>
  <c r="AC1142" i="3"/>
  <c r="AC1143" i="3"/>
  <c r="AC1153" i="3"/>
  <c r="AC1154" i="3"/>
  <c r="AC1155" i="3"/>
  <c r="AC1157" i="3"/>
  <c r="AC1158" i="3"/>
  <c r="BE1140" i="3"/>
  <c r="BE1141" i="3"/>
  <c r="BE1142" i="3"/>
  <c r="BE1143" i="3"/>
  <c r="BE1153" i="3"/>
  <c r="BE1154" i="3"/>
  <c r="BE1155" i="3"/>
  <c r="BE1157" i="3"/>
  <c r="BE1158" i="3"/>
  <c r="BF1140" i="3"/>
  <c r="BF1141" i="3"/>
  <c r="BF1142" i="3"/>
  <c r="BF1143" i="3"/>
  <c r="BF1153" i="3"/>
  <c r="BF1154" i="3"/>
  <c r="BF1155" i="3"/>
  <c r="BF1157" i="3"/>
  <c r="BF1158" i="3"/>
  <c r="BH1140" i="3"/>
  <c r="BH1141" i="3"/>
  <c r="BH1142" i="3"/>
  <c r="BH1143" i="3"/>
  <c r="BH1153" i="3"/>
  <c r="BH1154" i="3"/>
  <c r="BH1155" i="3"/>
  <c r="BH1157" i="3"/>
  <c r="BH1158" i="3"/>
  <c r="C1139" i="3"/>
  <c r="AC1139" i="3"/>
  <c r="BE1139" i="3"/>
  <c r="BF1139" i="3"/>
  <c r="BH113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38" i="3"/>
  <c r="AC1138" i="3"/>
  <c r="BE1138" i="3"/>
  <c r="BF1138" i="3"/>
  <c r="BH113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33" i="3"/>
  <c r="BF1133" i="3"/>
  <c r="BE1133" i="3"/>
  <c r="AC1133" i="3"/>
  <c r="F1133" i="3" a="1"/>
  <c r="C113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37" i="3"/>
  <c r="BF1137" i="3"/>
  <c r="BE1137" i="3"/>
  <c r="AC1137" i="3"/>
  <c r="BH1136" i="3"/>
  <c r="BF1136" i="3"/>
  <c r="BE1136" i="3"/>
  <c r="AC113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24" i="3"/>
  <c r="AC1124" i="3"/>
  <c r="BE1124" i="3"/>
  <c r="BH1124" i="3"/>
  <c r="C1123" i="3"/>
  <c r="AC1123" i="3"/>
  <c r="BE1123" i="3"/>
  <c r="BF1123" i="3"/>
  <c r="BH112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6" i="70"/>
  <c r="BC277" i="70"/>
  <c r="BC278" i="70"/>
  <c r="BC279" i="70"/>
  <c r="BC280" i="70"/>
  <c r="BC28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31" i="3"/>
  <c r="BH829" i="3"/>
  <c r="BH841" i="3"/>
  <c r="BH657" i="3"/>
  <c r="BH1134" i="3"/>
  <c r="BH912" i="3"/>
  <c r="BF751" i="3"/>
  <c r="BF830" i="3"/>
  <c r="BF1131" i="3"/>
  <c r="BF829" i="3"/>
  <c r="BF841" i="3"/>
  <c r="BF657" i="3"/>
  <c r="BF1134" i="3"/>
  <c r="BF912" i="3"/>
  <c r="BE751" i="3"/>
  <c r="BE830" i="3"/>
  <c r="BE1131" i="3"/>
  <c r="BE829" i="3"/>
  <c r="BE841" i="3"/>
  <c r="BE657" i="3"/>
  <c r="BE1134" i="3"/>
  <c r="BE912" i="3"/>
  <c r="AC751" i="3"/>
  <c r="AC830" i="3"/>
  <c r="AC1131" i="3"/>
  <c r="AC829" i="3"/>
  <c r="AC841" i="3"/>
  <c r="AC657" i="3"/>
  <c r="AC1134" i="3"/>
  <c r="AC912" i="3"/>
  <c r="V751" i="3"/>
  <c r="V657" i="3"/>
  <c r="F1134" i="3" a="1"/>
  <c r="F657" i="3" a="1"/>
  <c r="F829" i="3" a="1"/>
  <c r="F830" i="3" a="1"/>
  <c r="F751" i="3" a="1"/>
  <c r="C751" i="3"/>
  <c r="C830" i="3"/>
  <c r="C829" i="3"/>
  <c r="C841" i="3"/>
  <c r="C657" i="3"/>
  <c r="C1134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6" i="70"/>
  <c r="BH619" i="3"/>
  <c r="BF619" i="3"/>
  <c r="BE619" i="3"/>
  <c r="AC619" i="3"/>
  <c r="F619" i="3" a="1"/>
  <c r="C619" i="3"/>
  <c r="BH1119" i="3"/>
  <c r="BH1122" i="3"/>
  <c r="BF1119" i="3"/>
  <c r="BF1122" i="3"/>
  <c r="BE1119" i="3"/>
  <c r="BE1122" i="3"/>
  <c r="AC1119" i="3"/>
  <c r="AC1122" i="3"/>
  <c r="C1122" i="3"/>
  <c r="BH1118" i="3"/>
  <c r="BE1118" i="3"/>
  <c r="AC1118" i="3"/>
  <c r="BH1117" i="3"/>
  <c r="BE1117" i="3"/>
  <c r="AC1117" i="3"/>
  <c r="C1117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29" i="3"/>
  <c r="C1081" i="3"/>
  <c r="C1082" i="3"/>
  <c r="C782" i="3"/>
  <c r="C697" i="3"/>
  <c r="C716" i="3"/>
  <c r="C833" i="3"/>
  <c r="C837" i="3"/>
  <c r="C879" i="3"/>
  <c r="C865" i="3"/>
  <c r="C1083" i="3"/>
  <c r="C790" i="3"/>
  <c r="C704" i="3"/>
  <c r="C724" i="3"/>
  <c r="C877" i="3"/>
  <c r="C876" i="3"/>
  <c r="C711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703" i="3"/>
  <c r="C1102" i="3"/>
  <c r="C663" i="3"/>
  <c r="C696" i="3"/>
  <c r="C1103" i="3"/>
  <c r="C1104" i="3"/>
  <c r="C786" i="3"/>
  <c r="C828" i="3"/>
  <c r="C1105" i="3"/>
  <c r="C953" i="3"/>
  <c r="C1106" i="3"/>
  <c r="C913" i="3"/>
  <c r="C904" i="3"/>
  <c r="C957" i="3"/>
  <c r="C698" i="3"/>
  <c r="C713" i="3"/>
  <c r="C765" i="3"/>
  <c r="C1107" i="3"/>
  <c r="C1108" i="3"/>
  <c r="C759" i="3"/>
  <c r="C908" i="3"/>
  <c r="C911" i="3"/>
  <c r="C1109" i="3"/>
  <c r="C1110" i="3"/>
  <c r="C1111" i="3"/>
  <c r="C741" i="3"/>
  <c r="C769" i="3"/>
  <c r="C764" i="3"/>
  <c r="C747" i="3"/>
  <c r="C1112" i="3"/>
  <c r="C707" i="3"/>
  <c r="C734" i="3"/>
  <c r="C702" i="3"/>
  <c r="C736" i="3"/>
  <c r="C726" i="3"/>
  <c r="C728" i="3"/>
  <c r="C750" i="3"/>
  <c r="C1113" i="3"/>
  <c r="C1114" i="3"/>
  <c r="C1115" i="3"/>
  <c r="C1116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29" i="3"/>
  <c r="BF1081" i="3"/>
  <c r="BF1082" i="3"/>
  <c r="BF782" i="3"/>
  <c r="BF697" i="3"/>
  <c r="BF716" i="3"/>
  <c r="BF833" i="3"/>
  <c r="BF837" i="3"/>
  <c r="BF879" i="3"/>
  <c r="BF865" i="3"/>
  <c r="BF1083" i="3"/>
  <c r="BF790" i="3"/>
  <c r="BF704" i="3"/>
  <c r="BF724" i="3"/>
  <c r="BF877" i="3"/>
  <c r="BF876" i="3"/>
  <c r="BF711" i="3"/>
  <c r="BF1084" i="3"/>
  <c r="BF1085" i="3"/>
  <c r="BF1086" i="3"/>
  <c r="BF1087" i="3"/>
  <c r="BF1088" i="3"/>
  <c r="BF1089" i="3"/>
  <c r="BF1090" i="3"/>
  <c r="BF1091" i="3"/>
  <c r="BF1092" i="3"/>
  <c r="BF1093" i="3"/>
  <c r="BF1094" i="3"/>
  <c r="BF1095" i="3"/>
  <c r="BF1096" i="3"/>
  <c r="BF1097" i="3"/>
  <c r="BF1098" i="3"/>
  <c r="BF1099" i="3"/>
  <c r="BF703" i="3"/>
  <c r="BF1102" i="3"/>
  <c r="BF663" i="3"/>
  <c r="BF696" i="3"/>
  <c r="BF1103" i="3"/>
  <c r="BF1104" i="3"/>
  <c r="BF786" i="3"/>
  <c r="BF828" i="3"/>
  <c r="BF1105" i="3"/>
  <c r="BF953" i="3"/>
  <c r="BF1106" i="3"/>
  <c r="BF913" i="3"/>
  <c r="BF904" i="3"/>
  <c r="BF957" i="3"/>
  <c r="BF698" i="3"/>
  <c r="BF713" i="3"/>
  <c r="BF765" i="3"/>
  <c r="BF1107" i="3"/>
  <c r="BF1108" i="3"/>
  <c r="BF759" i="3"/>
  <c r="BF908" i="3"/>
  <c r="BF911" i="3"/>
  <c r="BF1109" i="3"/>
  <c r="BF1110" i="3"/>
  <c r="BF1111" i="3"/>
  <c r="BF741" i="3"/>
  <c r="BF769" i="3"/>
  <c r="BF764" i="3"/>
  <c r="BF747" i="3"/>
  <c r="BF1112" i="3"/>
  <c r="BF707" i="3"/>
  <c r="BF734" i="3"/>
  <c r="BF702" i="3"/>
  <c r="BF736" i="3"/>
  <c r="BF726" i="3"/>
  <c r="BF728" i="3"/>
  <c r="BF750" i="3"/>
  <c r="BF1113" i="3"/>
  <c r="BF1114" i="3"/>
  <c r="BF1115" i="3"/>
  <c r="BF1116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16" i="3"/>
  <c r="BE1116" i="3"/>
  <c r="BH1116" i="3"/>
  <c r="AC1115" i="3"/>
  <c r="BE1115" i="3"/>
  <c r="BH1115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29" i="3"/>
  <c r="BH1081" i="3"/>
  <c r="BH1082" i="3"/>
  <c r="BH694" i="3"/>
  <c r="BH716" i="3"/>
  <c r="BH865" i="3"/>
  <c r="BH1083" i="3"/>
  <c r="BH693" i="3"/>
  <c r="BH790" i="3"/>
  <c r="BH877" i="3"/>
  <c r="BH876" i="3"/>
  <c r="BH660" i="3"/>
  <c r="BH661" i="3"/>
  <c r="BH711" i="3"/>
  <c r="BH1084" i="3"/>
  <c r="BH1085" i="3"/>
  <c r="BH1086" i="3"/>
  <c r="BH1087" i="3"/>
  <c r="BH1088" i="3"/>
  <c r="BH1089" i="3"/>
  <c r="BH1090" i="3"/>
  <c r="BH1091" i="3"/>
  <c r="BH1092" i="3"/>
  <c r="BH1093" i="3"/>
  <c r="BH1094" i="3"/>
  <c r="BH1095" i="3"/>
  <c r="BH1096" i="3"/>
  <c r="BH1097" i="3"/>
  <c r="BH1098" i="3"/>
  <c r="BH1099" i="3"/>
  <c r="BH1100" i="3"/>
  <c r="BH1101" i="3"/>
  <c r="BH673" i="3"/>
  <c r="BH703" i="3"/>
  <c r="BH1102" i="3"/>
  <c r="BH663" i="3"/>
  <c r="BH782" i="3"/>
  <c r="BH679" i="3"/>
  <c r="BH719" i="3"/>
  <c r="BH696" i="3"/>
  <c r="BH1103" i="3"/>
  <c r="BH1104" i="3"/>
  <c r="BH786" i="3"/>
  <c r="BH671" i="3"/>
  <c r="BH651" i="3"/>
  <c r="BH828" i="3"/>
  <c r="BH1105" i="3"/>
  <c r="BH953" i="3"/>
  <c r="BH1106" i="3"/>
  <c r="BH913" i="3"/>
  <c r="BH904" i="3"/>
  <c r="BH957" i="3"/>
  <c r="BH650" i="3"/>
  <c r="BH698" i="3"/>
  <c r="BH713" i="3"/>
  <c r="BH765" i="3"/>
  <c r="BH1107" i="3"/>
  <c r="BH1108" i="3"/>
  <c r="BH759" i="3"/>
  <c r="BH908" i="3"/>
  <c r="BH911" i="3"/>
  <c r="BH1109" i="3"/>
  <c r="BH910" i="3"/>
  <c r="BH1110" i="3"/>
  <c r="BH674" i="3"/>
  <c r="BH1111" i="3"/>
  <c r="BH741" i="3"/>
  <c r="BH769" i="3"/>
  <c r="BH636" i="3"/>
  <c r="BH764" i="3"/>
  <c r="BH747" i="3"/>
  <c r="BH675" i="3"/>
  <c r="BH721" i="3"/>
  <c r="BH1112" i="3"/>
  <c r="BH734" i="3"/>
  <c r="BH728" i="3"/>
  <c r="BH707" i="3"/>
  <c r="BH750" i="3"/>
  <c r="BH726" i="3"/>
  <c r="BH702" i="3"/>
  <c r="BH736" i="3"/>
  <c r="BH1113" i="3"/>
  <c r="BH1114" i="3"/>
  <c r="AC289" i="3"/>
  <c r="AC382" i="3"/>
  <c r="AC1094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29" i="3"/>
  <c r="BE767" i="3"/>
  <c r="BE879" i="3"/>
  <c r="BE638" i="3"/>
  <c r="BE668" i="3"/>
  <c r="BE793" i="3"/>
  <c r="BF793" i="3"/>
  <c r="BE643" i="3"/>
  <c r="BE611" i="3"/>
  <c r="BE875" i="3"/>
  <c r="W875" i="3" s="1"/>
  <c r="BE1081" i="3"/>
  <c r="BE587" i="3"/>
  <c r="BE646" i="3"/>
  <c r="BE644" i="3"/>
  <c r="BE1082" i="3"/>
  <c r="BE665" i="3"/>
  <c r="BE694" i="3"/>
  <c r="BE716" i="3"/>
  <c r="BE865" i="3"/>
  <c r="BE1083" i="3"/>
  <c r="BE641" i="3"/>
  <c r="BE693" i="3"/>
  <c r="BE790" i="3"/>
  <c r="BE877" i="3"/>
  <c r="BE876" i="3"/>
  <c r="BE597" i="3"/>
  <c r="BE601" i="3"/>
  <c r="BE660" i="3"/>
  <c r="BE661" i="3"/>
  <c r="BE711" i="3"/>
  <c r="BE1084" i="3"/>
  <c r="BE1085" i="3"/>
  <c r="BE1086" i="3"/>
  <c r="BE1087" i="3"/>
  <c r="BE1088" i="3"/>
  <c r="BE1089" i="3"/>
  <c r="BE1090" i="3"/>
  <c r="BE1091" i="3"/>
  <c r="BE1092" i="3"/>
  <c r="BE1093" i="3"/>
  <c r="BE1094" i="3"/>
  <c r="BE1095" i="3"/>
  <c r="BE1096" i="3"/>
  <c r="BE1097" i="3"/>
  <c r="BE1098" i="3"/>
  <c r="BE1099" i="3"/>
  <c r="BE1100" i="3"/>
  <c r="BE1101" i="3"/>
  <c r="BE704" i="3"/>
  <c r="BE673" i="3"/>
  <c r="BE703" i="3"/>
  <c r="BE1102" i="3"/>
  <c r="BE663" i="3"/>
  <c r="BE782" i="3"/>
  <c r="BE679" i="3"/>
  <c r="BE719" i="3"/>
  <c r="BE697" i="3"/>
  <c r="BE696" i="3"/>
  <c r="BE682" i="3"/>
  <c r="BE1103" i="3"/>
  <c r="BE718" i="3"/>
  <c r="BE649" i="3"/>
  <c r="BE1104" i="3"/>
  <c r="BE784" i="3"/>
  <c r="BE786" i="3"/>
  <c r="BE671" i="3"/>
  <c r="BE651" i="3"/>
  <c r="BE828" i="3"/>
  <c r="BE1105" i="3"/>
  <c r="BE953" i="3"/>
  <c r="BE1106" i="3"/>
  <c r="BE913" i="3"/>
  <c r="BE904" i="3"/>
  <c r="BE957" i="3"/>
  <c r="BE650" i="3"/>
  <c r="BE698" i="3"/>
  <c r="BE713" i="3"/>
  <c r="BE765" i="3"/>
  <c r="BE1107" i="3"/>
  <c r="BE1108" i="3"/>
  <c r="BE759" i="3"/>
  <c r="BE908" i="3"/>
  <c r="BE911" i="3"/>
  <c r="BE1109" i="3"/>
  <c r="BE910" i="3"/>
  <c r="BE1110" i="3"/>
  <c r="BE635" i="3"/>
  <c r="BE674" i="3"/>
  <c r="BE1111" i="3"/>
  <c r="BE609" i="3"/>
  <c r="BE741" i="3"/>
  <c r="BE769" i="3"/>
  <c r="BE636" i="3"/>
  <c r="BE764" i="3"/>
  <c r="BE747" i="3"/>
  <c r="BE675" i="3"/>
  <c r="BE721" i="3"/>
  <c r="BE1112" i="3"/>
  <c r="BE734" i="3"/>
  <c r="BE728" i="3"/>
  <c r="BE707" i="3"/>
  <c r="BE750" i="3"/>
  <c r="BE726" i="3"/>
  <c r="BE702" i="3"/>
  <c r="BE736" i="3"/>
  <c r="BE1113" i="3"/>
  <c r="BE1114" i="3"/>
  <c r="H107" i="86"/>
  <c r="BF1100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2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18" i="3"/>
  <c r="BF1117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29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13" i="3" a="1"/>
  <c r="F1114" i="3" a="1"/>
  <c r="AC587" i="3"/>
  <c r="V646" i="3"/>
  <c r="AC1092" i="3"/>
  <c r="AC1093" i="3"/>
  <c r="AC1095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09" i="3"/>
  <c r="AC1110" i="3"/>
  <c r="AC1111" i="3"/>
  <c r="AC1112" i="3"/>
  <c r="AC1113" i="3"/>
  <c r="AC1114" i="3"/>
  <c r="AC957" i="3"/>
  <c r="AC1107" i="3"/>
  <c r="AC1108" i="3"/>
  <c r="AC1104" i="3"/>
  <c r="AC1105" i="3"/>
  <c r="AC1106" i="3"/>
  <c r="AC1103" i="3"/>
  <c r="AC1102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99" i="3"/>
  <c r="AC1083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81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82" i="3"/>
  <c r="AC497" i="3"/>
  <c r="AC479" i="3"/>
  <c r="AC490" i="3"/>
  <c r="AC1097" i="3"/>
  <c r="AC1029" i="3"/>
  <c r="AC1098" i="3"/>
  <c r="AC1096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85" i="3"/>
  <c r="AC1086" i="3"/>
  <c r="AC1087" i="3"/>
  <c r="AC1088" i="3"/>
  <c r="AC487" i="3"/>
  <c r="AC491" i="3"/>
  <c r="AC488" i="3"/>
  <c r="AC1090" i="3"/>
  <c r="AC465" i="3"/>
  <c r="AC1091" i="3"/>
  <c r="AC451" i="3"/>
  <c r="AC453" i="3"/>
  <c r="AC1084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01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00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80" i="70"/>
  <c r="AS281" i="70"/>
  <c r="AA280" i="70"/>
  <c r="AA281" i="70"/>
  <c r="C280" i="70"/>
  <c r="C28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7" i="70"/>
  <c r="AS278" i="70"/>
  <c r="AS279" i="70"/>
  <c r="AA277" i="70"/>
  <c r="AA278" i="70"/>
  <c r="AA279" i="70"/>
  <c r="C27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01" i="3"/>
  <c r="V778" i="3"/>
  <c r="J21" i="122"/>
  <c r="V1130" i="3"/>
  <c r="V1053" i="3"/>
  <c r="W946" i="3"/>
  <c r="V946" i="3"/>
  <c r="V983" i="3"/>
  <c r="U34" i="122"/>
  <c r="V989" i="3"/>
  <c r="V923" i="3"/>
  <c r="V936" i="3"/>
  <c r="V892" i="3"/>
  <c r="V938" i="3"/>
  <c r="V867" i="3"/>
  <c r="V1015" i="3"/>
  <c r="V909" i="3"/>
  <c r="V1042" i="3"/>
  <c r="V1030" i="3"/>
  <c r="V1041" i="3"/>
  <c r="V1010" i="3"/>
  <c r="V1034" i="3"/>
  <c r="V1013" i="3"/>
  <c r="V1046" i="3"/>
  <c r="V1145" i="3"/>
  <c r="V897" i="3"/>
  <c r="V842" i="3"/>
  <c r="V961" i="3"/>
  <c r="V998" i="3"/>
  <c r="V927" i="3"/>
  <c r="W927" i="3"/>
  <c r="V889" i="3"/>
  <c r="W1005" i="3"/>
  <c r="V1005" i="3"/>
  <c r="L88" i="122"/>
  <c r="L90" i="122" s="1"/>
  <c r="V930" i="3"/>
  <c r="V1151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0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52" i="3"/>
  <c r="V824" i="3"/>
  <c r="S102" i="122"/>
  <c r="S104" i="122" s="1"/>
  <c r="O6" i="122"/>
  <c r="O8" i="122" s="1"/>
  <c r="C1159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W1013" i="3" l="1"/>
  <c r="X1013" i="3"/>
  <c r="AX230" i="70"/>
  <c r="AZ1178" i="3"/>
  <c r="AU230" i="70" a="1"/>
  <c r="AU230" i="70" s="1"/>
  <c r="AY230" i="70" s="1"/>
  <c r="AZ1224" i="3"/>
  <c r="AZ1060" i="3"/>
  <c r="AZ1059" i="3"/>
  <c r="U1231" i="3" a="1"/>
  <c r="U1231" i="3" s="1"/>
  <c r="V1001" i="3"/>
  <c r="W1001" i="3"/>
  <c r="AZ1201" i="3"/>
  <c r="AZ1071" i="3"/>
  <c r="AZ1062" i="3"/>
  <c r="AW1071" i="3" a="1"/>
  <c r="AW1071" i="3" s="1"/>
  <c r="AW1062" i="3" a="1"/>
  <c r="AW1062" i="3" s="1"/>
  <c r="U1071" i="3" a="1"/>
  <c r="U1071" i="3" s="1"/>
  <c r="X1071" i="3" s="1"/>
  <c r="U1062" i="3" a="1"/>
  <c r="U1062" i="3" s="1"/>
  <c r="W38" i="122"/>
  <c r="W40" i="122" s="1"/>
  <c r="W41" i="122"/>
  <c r="W29" i="122"/>
  <c r="AZ1063" i="3"/>
  <c r="AW1063" i="3" a="1"/>
  <c r="AW1063" i="3" s="1"/>
  <c r="AZ1149" i="3"/>
  <c r="AZ1150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6" i="70" a="1"/>
  <c r="AU266" i="70" s="1"/>
  <c r="AU267" i="70" a="1"/>
  <c r="AU267" i="70" s="1"/>
  <c r="AX266" i="70"/>
  <c r="AX267" i="70"/>
  <c r="AU268" i="70" a="1"/>
  <c r="AU268" i="70" s="1"/>
  <c r="AU269" i="70" a="1"/>
  <c r="AU269" i="70" s="1"/>
  <c r="AX268" i="70"/>
  <c r="AX269" i="70"/>
  <c r="AU270" i="70" a="1"/>
  <c r="AU270" i="70" s="1"/>
  <c r="AU271" i="70" a="1"/>
  <c r="AU271" i="70" s="1"/>
  <c r="AX270" i="70"/>
  <c r="AX271" i="70"/>
  <c r="AU263" i="70" a="1"/>
  <c r="AU263" i="70" s="1"/>
  <c r="AU264" i="70" a="1"/>
  <c r="AU264" i="70" s="1"/>
  <c r="AU265" i="70" a="1"/>
  <c r="AU265" i="70" s="1"/>
  <c r="AX263" i="70"/>
  <c r="AX264" i="70"/>
  <c r="AX265" i="70"/>
  <c r="AX259" i="70"/>
  <c r="AX260" i="70"/>
  <c r="AX261" i="70"/>
  <c r="AU261" i="70" a="1"/>
  <c r="AU261" i="70" s="1"/>
  <c r="AU260" i="70" a="1"/>
  <c r="AU260" i="70" s="1"/>
  <c r="AY260" i="70" s="1"/>
  <c r="AU259" i="70" a="1"/>
  <c r="AU259" i="70" s="1"/>
  <c r="AX273" i="70"/>
  <c r="AU273" i="70" a="1"/>
  <c r="AU273" i="70" s="1"/>
  <c r="AU256" i="70" a="1"/>
  <c r="AU256" i="70" s="1"/>
  <c r="AX256" i="70"/>
  <c r="AU257" i="70" a="1"/>
  <c r="AU257" i="70" s="1"/>
  <c r="AX257" i="70"/>
  <c r="AU258" i="70" a="1"/>
  <c r="AU258" i="70" s="1"/>
  <c r="AX258" i="70"/>
  <c r="AU262" i="70" a="1"/>
  <c r="AU262" i="70" s="1"/>
  <c r="AX262" i="70"/>
  <c r="AU272" i="70" a="1"/>
  <c r="AU272" i="70" s="1"/>
  <c r="AX272" i="70"/>
  <c r="AX254" i="70"/>
  <c r="AU254" i="70" a="1"/>
  <c r="AU254" i="70" s="1"/>
  <c r="AX253" i="70"/>
  <c r="AU253" i="70" a="1"/>
  <c r="AU253" i="70" s="1"/>
  <c r="AU255" i="70" a="1"/>
  <c r="AU255" i="70" s="1"/>
  <c r="AX255" i="70"/>
  <c r="AU274" i="70" a="1"/>
  <c r="AU274" i="70" s="1"/>
  <c r="AX274" i="70"/>
  <c r="AZ1127" i="3"/>
  <c r="AU247" i="70" a="1"/>
  <c r="AU247" i="70" s="1"/>
  <c r="AU248" i="70" a="1"/>
  <c r="AU248" i="70" s="1"/>
  <c r="AX247" i="70"/>
  <c r="AX248" i="70"/>
  <c r="AU249" i="70" a="1"/>
  <c r="AU249" i="70" s="1"/>
  <c r="AU250" i="70" a="1"/>
  <c r="AU250" i="70" s="1"/>
  <c r="AU251" i="70" a="1"/>
  <c r="AU251" i="70" s="1"/>
  <c r="AX249" i="70"/>
  <c r="AX250" i="70"/>
  <c r="AX251" i="70"/>
  <c r="AU252" i="70" a="1"/>
  <c r="AU252" i="70" s="1"/>
  <c r="AX252" i="70"/>
  <c r="AZ1176" i="3"/>
  <c r="AZ1172" i="3"/>
  <c r="AZ1128" i="3"/>
  <c r="AZ849" i="3"/>
  <c r="AW849" i="3" a="1"/>
  <c r="AW849" i="3" s="1"/>
  <c r="U1227" i="3" a="1"/>
  <c r="U1227" i="3" s="1"/>
  <c r="X1227" i="3" s="1"/>
  <c r="U1063" i="3" a="1"/>
  <c r="U1063" i="3" s="1"/>
  <c r="U1179" i="3" a="1"/>
  <c r="U1179" i="3" s="1"/>
  <c r="V29" i="122"/>
  <c r="AZ1036" i="3"/>
  <c r="AZ1233" i="3"/>
  <c r="AZ1039" i="3"/>
  <c r="AZ1236" i="3"/>
  <c r="AZ1214" i="3"/>
  <c r="AZ1218" i="3"/>
  <c r="AZ1217" i="3"/>
  <c r="AZ1216" i="3"/>
  <c r="AZ1210" i="3"/>
  <c r="AZ1211" i="3"/>
  <c r="AZ1193" i="3"/>
  <c r="AZ1192" i="3"/>
  <c r="I37" i="47"/>
  <c r="J37" i="47" s="1"/>
  <c r="I26" i="47"/>
  <c r="AW247" i="3" s="1" a="1"/>
  <c r="J25" i="47"/>
  <c r="AZ1037" i="3"/>
  <c r="AZ1146" i="3"/>
  <c r="AX215" i="70"/>
  <c r="AX201" i="70"/>
  <c r="AX200" i="70"/>
  <c r="AX198" i="70"/>
  <c r="AX196" i="70"/>
  <c r="AX195" i="70"/>
  <c r="AZ1228" i="3"/>
  <c r="AZ1229" i="3"/>
  <c r="AZ1031" i="3"/>
  <c r="AZ1213" i="3"/>
  <c r="AZ1219" i="3"/>
  <c r="AZ1220" i="3"/>
  <c r="AZ1221" i="3"/>
  <c r="AZ1212" i="3"/>
  <c r="AZ1198" i="3"/>
  <c r="AZ1197" i="3"/>
  <c r="AZ993" i="3"/>
  <c r="AZ1078" i="3"/>
  <c r="AZ1025" i="3"/>
  <c r="AZ1024" i="3"/>
  <c r="AZ1055" i="3"/>
  <c r="AZ1126" i="3"/>
  <c r="AZ1208" i="3"/>
  <c r="AZ1207" i="3"/>
  <c r="AZ1203" i="3"/>
  <c r="AZ1204" i="3"/>
  <c r="AZ1205" i="3"/>
  <c r="AZ1206" i="3"/>
  <c r="AZ1054" i="3"/>
  <c r="AZ1194" i="3"/>
  <c r="AZ1195" i="3"/>
  <c r="AZ1196" i="3"/>
  <c r="AZ1052" i="3"/>
  <c r="AZ1200" i="3"/>
  <c r="AZ1056" i="3"/>
  <c r="AZ1202" i="3"/>
  <c r="AZ1051" i="3"/>
  <c r="AZ1177" i="3"/>
  <c r="AZ1169" i="3"/>
  <c r="AZ1165" i="3"/>
  <c r="AZ1232" i="3"/>
  <c r="AZ1234" i="3"/>
  <c r="AZ1235" i="3"/>
  <c r="AZ1226" i="3"/>
  <c r="AZ1033" i="3"/>
  <c r="AZ1000" i="3"/>
  <c r="AZ1167" i="3"/>
  <c r="AZ1017" i="3"/>
  <c r="AZ1050" i="3"/>
  <c r="AZ986" i="3"/>
  <c r="AZ1035" i="3"/>
  <c r="AZ1038" i="3"/>
  <c r="AZ1047" i="3"/>
  <c r="AZ1021" i="3"/>
  <c r="AX246" i="70"/>
  <c r="AU246" i="70" a="1"/>
  <c r="AU275" i="70" a="1"/>
  <c r="AX275" i="70"/>
  <c r="AX243" i="70"/>
  <c r="AU243" i="70" a="1"/>
  <c r="AX242" i="70"/>
  <c r="AU242" i="70" a="1"/>
  <c r="AX241" i="70"/>
  <c r="AU241" i="70" a="1"/>
  <c r="AX240" i="70"/>
  <c r="AU240" i="70" a="1"/>
  <c r="AU190" i="70" a="1"/>
  <c r="AU189" i="70" a="1"/>
  <c r="AU188" i="70" a="1"/>
  <c r="AU187" i="70" a="1"/>
  <c r="AX187" i="70"/>
  <c r="AX188" i="70"/>
  <c r="AX189" i="70"/>
  <c r="AX190" i="70"/>
  <c r="AW1226" i="3" a="1"/>
  <c r="AZ996" i="3"/>
  <c r="AZ1027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AU1061" i="3"/>
  <c r="AU1018" i="3"/>
  <c r="U1175" i="3" a="1"/>
  <c r="U1175" i="3" s="1"/>
  <c r="U1215" i="3" a="1"/>
  <c r="U1215" i="3" s="1"/>
  <c r="V1215" i="3" s="1"/>
  <c r="U1209" i="3" a="1"/>
  <c r="U1209" i="3" s="1"/>
  <c r="V1209" i="3" s="1"/>
  <c r="S38" i="122"/>
  <c r="S40" i="122" s="1"/>
  <c r="AU104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59" i="3"/>
  <c r="AU1073" i="3"/>
  <c r="AU1072" i="3"/>
  <c r="AU1066" i="3"/>
  <c r="AU1065" i="3"/>
  <c r="AU1064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60" i="3"/>
  <c r="AU1158" i="3"/>
  <c r="AU1157" i="3"/>
  <c r="AU1155" i="3"/>
  <c r="AU1034" i="3"/>
  <c r="AU1041" i="3"/>
  <c r="AU1154" i="3"/>
  <c r="AU943" i="3"/>
  <c r="AU942" i="3"/>
  <c r="AU1153" i="3"/>
  <c r="AU1009" i="3"/>
  <c r="AU1152" i="3"/>
  <c r="AU924" i="3"/>
  <c r="AU1151" i="3"/>
  <c r="AU1144" i="3"/>
  <c r="AU1148" i="3"/>
  <c r="AU1143" i="3"/>
  <c r="AU1142" i="3"/>
  <c r="AU1141" i="3"/>
  <c r="AU1140" i="3"/>
  <c r="AU1139" i="3"/>
  <c r="AU1138" i="3"/>
  <c r="AU1137" i="3"/>
  <c r="AU990" i="3"/>
  <c r="AU1136" i="3"/>
  <c r="AU1131" i="3"/>
  <c r="AU1147" i="3"/>
  <c r="AU1124" i="3"/>
  <c r="AU1123" i="3"/>
  <c r="AU1040" i="3"/>
  <c r="AU1122" i="3"/>
  <c r="AU1121" i="3"/>
  <c r="AU1120" i="3"/>
  <c r="AU1080" i="3"/>
  <c r="AU1079" i="3"/>
  <c r="AU1119" i="3"/>
  <c r="AU1001" i="3"/>
  <c r="AU1118" i="3"/>
  <c r="AU1117" i="3"/>
  <c r="AU1116" i="3"/>
  <c r="AU1115" i="3"/>
  <c r="AU1114" i="3"/>
  <c r="AU1113" i="3"/>
  <c r="AU1112" i="3"/>
  <c r="AU1111" i="3"/>
  <c r="AU944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983" i="3"/>
  <c r="AU920" i="3"/>
  <c r="AU1042" i="3"/>
  <c r="AU923" i="3"/>
  <c r="AU918" i="3"/>
  <c r="AU968" i="3"/>
  <c r="AU967" i="3"/>
  <c r="AU966" i="3"/>
  <c r="AU965" i="3"/>
  <c r="AU964" i="3"/>
  <c r="AU963" i="3"/>
  <c r="AU1029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199" i="3" a="1"/>
  <c r="U1191" i="3" a="1"/>
  <c r="X1169" i="3"/>
  <c r="U64" i="122" s="1"/>
  <c r="U1226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22" i="3" a="1"/>
  <c r="U1181" i="3" a="1"/>
  <c r="U1185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56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2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2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15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09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56" i="3" a="1"/>
  <c r="AZ1174" i="3"/>
  <c r="AZ1179" i="3"/>
  <c r="AZ962" i="3"/>
  <c r="AZ838" i="3"/>
  <c r="AW798" i="3" a="1"/>
  <c r="AX149" i="70"/>
  <c r="AW1174" i="3" a="1"/>
  <c r="AW1179" i="3" a="1"/>
  <c r="AW1160" i="3" a="1"/>
  <c r="AW1144" i="3" a="1"/>
  <c r="AW1109" i="3" a="1"/>
  <c r="AW1094" i="3" a="1"/>
  <c r="AW958" i="3" a="1"/>
  <c r="AW1170" i="3" a="1"/>
  <c r="AW1158" i="3" a="1"/>
  <c r="AW1136" i="3" a="1"/>
  <c r="AW1108" i="3" a="1"/>
  <c r="AW1093" i="3" a="1"/>
  <c r="AW957" i="3" a="1"/>
  <c r="AW1157" i="3" a="1"/>
  <c r="AW1143" i="3" a="1"/>
  <c r="AW1107" i="3" a="1"/>
  <c r="AW1092" i="3" a="1"/>
  <c r="AW1164" i="3" a="1"/>
  <c r="AW1155" i="3" a="1"/>
  <c r="AW1142" i="3" a="1"/>
  <c r="AW1119" i="3" a="1"/>
  <c r="AW1106" i="3" a="1"/>
  <c r="AW1091" i="3" a="1"/>
  <c r="AW918" i="3" a="1"/>
  <c r="AW953" i="3" a="1"/>
  <c r="AW625" i="3" a="1"/>
  <c r="AW1014" i="3" a="1"/>
  <c r="AW1105" i="3" a="1"/>
  <c r="AW1090" i="3" a="1"/>
  <c r="AW624" i="3" a="1"/>
  <c r="AW1141" i="3" a="1"/>
  <c r="AW1131" i="3" a="1"/>
  <c r="AW1104" i="3" a="1"/>
  <c r="AW1089" i="3" a="1"/>
  <c r="AW969" i="3" a="1"/>
  <c r="AW623" i="3" a="1"/>
  <c r="AW1227" i="3" a="1"/>
  <c r="AW1154" i="3" a="1"/>
  <c r="AW1140" i="3" a="1"/>
  <c r="AW1118" i="3" a="1"/>
  <c r="AW1103" i="3" a="1"/>
  <c r="AW1088" i="3" a="1"/>
  <c r="AW1124" i="3" a="1"/>
  <c r="AW1117" i="3" a="1"/>
  <c r="AW1102" i="3" a="1"/>
  <c r="AW1087" i="3" a="1"/>
  <c r="AW888" i="3" a="1"/>
  <c r="AW621" i="3" a="1"/>
  <c r="AW590" i="3" a="1"/>
  <c r="AW1225" i="3" a="1"/>
  <c r="AW1139" i="3" a="1"/>
  <c r="AW1123" i="3" a="1"/>
  <c r="AW1116" i="3" a="1"/>
  <c r="AW1101" i="3" a="1"/>
  <c r="AW1086" i="3" a="1"/>
  <c r="AW887" i="3" a="1"/>
  <c r="AW1231" i="3" a="1"/>
  <c r="AW1199" i="3" a="1"/>
  <c r="AW1163" i="3" a="1"/>
  <c r="AW1153" i="3" a="1"/>
  <c r="AW1138" i="3" a="1"/>
  <c r="AW1115" i="3" a="1"/>
  <c r="AW1100" i="3" a="1"/>
  <c r="AW1085" i="3" a="1"/>
  <c r="AW1191" i="3" a="1"/>
  <c r="AW1122" i="3" a="1"/>
  <c r="AW1114" i="3" a="1"/>
  <c r="AW1084" i="3" a="1"/>
  <c r="AW1181" i="3" a="1"/>
  <c r="AW1113" i="3" a="1"/>
  <c r="AW1099" i="3" a="1"/>
  <c r="AW1083" i="3" a="1"/>
  <c r="AW1168" i="3" a="1"/>
  <c r="AW1162" i="3" a="1"/>
  <c r="AW1137" i="3" a="1"/>
  <c r="AW1112" i="3" a="1"/>
  <c r="AW1098" i="3" a="1"/>
  <c r="AW1082" i="3" a="1"/>
  <c r="AW1029" i="3" a="1"/>
  <c r="AW885" i="3" a="1"/>
  <c r="C28" i="47"/>
  <c r="AW656" i="3" s="1" a="1"/>
  <c r="AW638" i="3" a="1"/>
  <c r="AW637" i="3" a="1"/>
  <c r="AW610" i="3" a="1"/>
  <c r="AW612" i="3" a="1"/>
  <c r="AW611" i="3" a="1"/>
  <c r="AW1161" i="3" a="1"/>
  <c r="AW1111" i="3" a="1"/>
  <c r="AW1097" i="3" a="1"/>
  <c r="AW1081" i="3" a="1"/>
  <c r="AW916" i="3" a="1"/>
  <c r="C35" i="47"/>
  <c r="AW886" i="3" s="1" a="1"/>
  <c r="AW799" i="3" a="1"/>
  <c r="AW609" i="3" a="1"/>
  <c r="AW1159" i="3" a="1"/>
  <c r="AW1175" i="3" a="1"/>
  <c r="AW1173" i="3" a="1"/>
  <c r="AW1096" i="3" a="1"/>
  <c r="AW883" i="3" a="1"/>
  <c r="AW608" i="3" a="1"/>
  <c r="AW1110" i="3" a="1"/>
  <c r="AW1095" i="3" a="1"/>
  <c r="Z1153" i="3"/>
  <c r="Z1092" i="3"/>
  <c r="W1015" i="3"/>
  <c r="X1015" i="3"/>
  <c r="W932" i="3"/>
  <c r="Z1114" i="3"/>
  <c r="Z1084" i="3"/>
  <c r="W1053" i="3"/>
  <c r="Z896" i="3"/>
  <c r="Z881" i="3"/>
  <c r="X26" i="122"/>
  <c r="W933" i="3"/>
  <c r="Z1160" i="3"/>
  <c r="Z1109" i="3"/>
  <c r="Z1094" i="3"/>
  <c r="W1145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23" i="3"/>
  <c r="W896" i="3"/>
  <c r="W1046" i="3"/>
  <c r="W271" i="3"/>
  <c r="V26" i="122"/>
  <c r="U1156" i="3" a="1"/>
  <c r="U1155" i="3" a="1"/>
  <c r="U1154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6" i="3"/>
  <c r="W1148" i="3"/>
  <c r="Z955" i="3"/>
  <c r="Z911" i="3"/>
  <c r="Z895" i="3"/>
  <c r="Z954" i="3"/>
  <c r="Z914" i="3"/>
  <c r="Z1098" i="3"/>
  <c r="Z1082" i="3"/>
  <c r="Z963" i="3"/>
  <c r="Z900" i="3"/>
  <c r="Z886" i="3"/>
  <c r="Z1080" i="3"/>
  <c r="Z1029" i="3"/>
  <c r="Z885" i="3"/>
  <c r="Z1191" i="3"/>
  <c r="Z1124" i="3"/>
  <c r="Z1117" i="3"/>
  <c r="Z1102" i="3"/>
  <c r="Z1087" i="3"/>
  <c r="Z968" i="3"/>
  <c r="Z905" i="3"/>
  <c r="Z889" i="3"/>
  <c r="Z1005" i="3"/>
  <c r="Z1170" i="3"/>
  <c r="Z1158" i="3"/>
  <c r="Z1148" i="3"/>
  <c r="Z1136" i="3"/>
  <c r="Z1015" i="3"/>
  <c r="Z1093" i="3"/>
  <c r="Z958" i="3"/>
  <c r="Z934" i="3"/>
  <c r="Z901" i="3"/>
  <c r="Z1030" i="3"/>
  <c r="Z960" i="3"/>
  <c r="Z913" i="3"/>
  <c r="Z939" i="3"/>
  <c r="Z1157" i="3"/>
  <c r="Z1143" i="3"/>
  <c r="Z1161" i="3"/>
  <c r="W343" i="3"/>
  <c r="X1027" i="3"/>
  <c r="Z1042" i="3"/>
  <c r="Z1129" i="3"/>
  <c r="Z1121" i="3"/>
  <c r="Z1113" i="3"/>
  <c r="Z1099" i="3"/>
  <c r="Z1083" i="3"/>
  <c r="Z915" i="3"/>
  <c r="Z959" i="3"/>
  <c r="X907" i="3"/>
  <c r="W870" i="3"/>
  <c r="W622" i="3"/>
  <c r="W952" i="3"/>
  <c r="W397" i="3"/>
  <c r="Z894" i="3"/>
  <c r="W347" i="3"/>
  <c r="Z1111" i="3"/>
  <c r="Z932" i="3"/>
  <c r="W552" i="3"/>
  <c r="Z924" i="3"/>
  <c r="Z990" i="3"/>
  <c r="W682" i="3"/>
  <c r="W344" i="3"/>
  <c r="W279" i="3"/>
  <c r="W209" i="3"/>
  <c r="X865" i="3"/>
  <c r="W648" i="3"/>
  <c r="V1018" i="3"/>
  <c r="W470" i="3"/>
  <c r="W277" i="3"/>
  <c r="X593" i="3"/>
  <c r="X885" i="3"/>
  <c r="W276" i="3"/>
  <c r="X584" i="3"/>
  <c r="W868" i="3"/>
  <c r="X656" i="3"/>
  <c r="W615" i="3"/>
  <c r="W350" i="3"/>
  <c r="W711" i="3"/>
  <c r="W1027" i="3"/>
  <c r="X872" i="3"/>
  <c r="Z1164" i="3"/>
  <c r="Z1142" i="3"/>
  <c r="Z1106" i="3"/>
  <c r="Z923" i="3"/>
  <c r="Z909" i="3"/>
  <c r="S41" i="122"/>
  <c r="Z1175" i="3"/>
  <c r="W282" i="3"/>
  <c r="X226" i="3"/>
  <c r="W407" i="3"/>
  <c r="W346" i="3"/>
  <c r="W744" i="3"/>
  <c r="W934" i="3"/>
  <c r="W595" i="3"/>
  <c r="X848" i="3"/>
  <c r="W1041" i="3"/>
  <c r="Z1022" i="3"/>
  <c r="Z1154" i="3"/>
  <c r="Z1097" i="3"/>
  <c r="Z1225" i="3"/>
  <c r="Z1104" i="3"/>
  <c r="Z891" i="3"/>
  <c r="Z1095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45" i="3"/>
  <c r="W1022" i="3"/>
  <c r="X894" i="3"/>
  <c r="W1042" i="3"/>
  <c r="W937" i="3"/>
  <c r="Z1046" i="3"/>
  <c r="Z1081" i="3"/>
  <c r="Z899" i="3"/>
  <c r="W1130" i="3"/>
  <c r="W383" i="3"/>
  <c r="W1010" i="3"/>
  <c r="W558" i="3"/>
  <c r="W352" i="3"/>
  <c r="W319" i="3"/>
  <c r="X955" i="3"/>
  <c r="W330" i="3"/>
  <c r="W836" i="3"/>
  <c r="X836" i="3"/>
  <c r="X911" i="3"/>
  <c r="W432" i="3"/>
  <c r="W401" i="3"/>
  <c r="W385" i="3"/>
  <c r="W848" i="3"/>
  <c r="W867" i="3"/>
  <c r="V1064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675" i="3"/>
  <c r="W769" i="3"/>
  <c r="W473" i="3"/>
  <c r="W409" i="3"/>
  <c r="W283" i="3"/>
  <c r="W958" i="3"/>
  <c r="W1132" i="3"/>
  <c r="W901" i="3"/>
  <c r="X963" i="3"/>
  <c r="X901" i="3"/>
  <c r="W996" i="3"/>
  <c r="W551" i="3"/>
  <c r="W810" i="3"/>
  <c r="X810" i="3"/>
  <c r="W433" i="3"/>
  <c r="W961" i="3"/>
  <c r="Z1089" i="3"/>
  <c r="Z1023" i="3"/>
  <c r="Z912" i="3"/>
  <c r="Z957" i="3"/>
  <c r="Z997" i="3"/>
  <c r="Z1108" i="3"/>
  <c r="Z1134" i="3"/>
  <c r="Z1107" i="3"/>
  <c r="Z961" i="3"/>
  <c r="Z998" i="3"/>
  <c r="Z1122" i="3"/>
  <c r="Z930" i="3"/>
  <c r="Z965" i="3"/>
  <c r="Z902" i="3"/>
  <c r="Z947" i="3"/>
  <c r="Z989" i="3"/>
  <c r="Z942" i="3"/>
  <c r="Z1139" i="3"/>
  <c r="Z1116" i="3"/>
  <c r="Z1101" i="3"/>
  <c r="Z1026" i="3"/>
  <c r="Z1159" i="3"/>
  <c r="Z927" i="3"/>
  <c r="Z970" i="3"/>
  <c r="Z1163" i="3"/>
  <c r="Z1138" i="3"/>
  <c r="Z1040" i="3"/>
  <c r="Z1115" i="3"/>
  <c r="Z1100" i="3"/>
  <c r="Z1085" i="3"/>
  <c r="Z966" i="3"/>
  <c r="Z936" i="3"/>
  <c r="Z903" i="3"/>
  <c r="Z887" i="3"/>
  <c r="Z1086" i="3"/>
  <c r="Z1131" i="3"/>
  <c r="Z1006" i="3"/>
  <c r="Z1141" i="3"/>
  <c r="Z967" i="3"/>
  <c r="Z937" i="3"/>
  <c r="Z888" i="3"/>
  <c r="Z1090" i="3"/>
  <c r="Z918" i="3"/>
  <c r="Z953" i="3"/>
  <c r="Z908" i="3"/>
  <c r="Z892" i="3"/>
  <c r="Z1073" i="3"/>
  <c r="X891" i="3"/>
  <c r="U1173" i="3" a="1"/>
  <c r="U1174" i="3" a="1"/>
  <c r="Z1066" i="3"/>
  <c r="Z1065" i="3"/>
  <c r="Z1227" i="3"/>
  <c r="Z1008" i="3"/>
  <c r="Z973" i="3"/>
  <c r="Z1013" i="3"/>
  <c r="Z1171" i="3"/>
  <c r="Z1028" i="3"/>
  <c r="Z926" i="3"/>
  <c r="Z1155" i="3"/>
  <c r="Z943" i="3"/>
  <c r="Z1151" i="3"/>
  <c r="Z1144" i="3"/>
  <c r="Z995" i="3"/>
  <c r="Z933" i="3"/>
  <c r="Z1133" i="3"/>
  <c r="Z1119" i="3"/>
  <c r="Z1110" i="3"/>
  <c r="Z1091" i="3"/>
  <c r="Z893" i="3"/>
  <c r="BF573" i="3"/>
  <c r="X573" i="3" s="1"/>
  <c r="BF522" i="3"/>
  <c r="X522" i="3" s="1"/>
  <c r="BF592" i="3"/>
  <c r="X592" i="3" s="1"/>
  <c r="U138" i="122"/>
  <c r="Z1004" i="3"/>
  <c r="Z1145" i="3"/>
  <c r="Z994" i="3"/>
  <c r="Z1132" i="3"/>
  <c r="Z1014" i="3"/>
  <c r="Z1105" i="3"/>
  <c r="Z1079" i="3"/>
  <c r="Z944" i="3"/>
  <c r="Z1096" i="3"/>
  <c r="Z916" i="3"/>
  <c r="Z884" i="3"/>
  <c r="Z992" i="3"/>
  <c r="Z983" i="3"/>
  <c r="Z897" i="3"/>
  <c r="Z883" i="3"/>
  <c r="Z984" i="3"/>
  <c r="Z919" i="3"/>
  <c r="Z898" i="3"/>
  <c r="Z972" i="3"/>
  <c r="Z1034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3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6" i="70"/>
  <c r="AU50" i="70" a="1"/>
  <c r="AU51" i="70" a="1"/>
  <c r="AX179" i="70"/>
  <c r="AX277" i="70"/>
  <c r="AX204" i="70"/>
  <c r="AX175" i="70"/>
  <c r="AX178" i="70"/>
  <c r="AU235" i="70" a="1"/>
  <c r="AU26" i="70" a="1"/>
  <c r="AX207" i="70"/>
  <c r="AX235" i="70"/>
  <c r="AX176" i="70"/>
  <c r="AX50" i="70"/>
  <c r="AU233" i="70" a="1"/>
  <c r="AX233" i="70"/>
  <c r="AX58" i="70"/>
  <c r="AU236" i="70" a="1"/>
  <c r="AX214" i="70"/>
  <c r="AX279" i="70"/>
  <c r="AU56" i="70" a="1"/>
  <c r="AX51" i="70"/>
  <c r="AU237" i="70" a="1"/>
  <c r="AU245" i="70" a="1"/>
  <c r="AU276" i="70" a="1"/>
  <c r="AU57" i="70" a="1"/>
  <c r="AX281" i="70"/>
  <c r="AU279" i="70" a="1"/>
  <c r="AX237" i="70"/>
  <c r="AX245" i="70"/>
  <c r="AX210" i="70"/>
  <c r="AU24" i="70" a="1"/>
  <c r="AX211" i="70"/>
  <c r="AU25" i="70" a="1"/>
  <c r="AU281" i="70" a="1"/>
  <c r="AU27" i="70" a="1"/>
  <c r="AU175" i="70" a="1"/>
  <c r="AX55" i="70"/>
  <c r="AU277" i="70" a="1"/>
  <c r="AU174" i="70" a="1"/>
  <c r="AU234" i="70" a="1"/>
  <c r="AX53" i="70"/>
  <c r="AX276" i="70"/>
  <c r="AX185" i="70"/>
  <c r="AX244" i="70"/>
  <c r="AX54" i="70"/>
  <c r="AX218" i="70"/>
  <c r="AX80" i="70"/>
  <c r="AX191" i="70"/>
  <c r="AU244" i="70" a="1"/>
  <c r="AX57" i="70"/>
  <c r="AX193" i="70"/>
  <c r="AU238" i="70" a="1"/>
  <c r="AU53" i="70" a="1"/>
  <c r="AX174" i="70"/>
  <c r="AX186" i="70"/>
  <c r="AX280" i="70"/>
  <c r="AX56" i="70"/>
  <c r="AU280" i="70" a="1"/>
  <c r="AX232" i="70"/>
  <c r="AX234" i="70"/>
  <c r="AX194" i="70"/>
  <c r="AX238" i="70"/>
  <c r="AU54" i="70" a="1"/>
  <c r="AX278" i="70"/>
  <c r="AU278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1" i="70"/>
  <c r="AX213" i="70"/>
  <c r="AU23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48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52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0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4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1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2" i="3"/>
  <c r="AZ989" i="3"/>
  <c r="AZ356" i="3"/>
  <c r="AZ413" i="3"/>
  <c r="AZ586" i="3"/>
  <c r="AZ1100" i="3"/>
  <c r="AZ882" i="3"/>
  <c r="AZ357" i="3"/>
  <c r="AZ480" i="3"/>
  <c r="AZ523" i="3"/>
  <c r="AZ587" i="3"/>
  <c r="AZ781" i="3"/>
  <c r="AZ865" i="3"/>
  <c r="AZ1101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40" i="3"/>
  <c r="AZ1006" i="3"/>
  <c r="Z948" i="3"/>
  <c r="D52" i="122"/>
  <c r="Z1135" i="3"/>
  <c r="Z928" i="3"/>
  <c r="Z1112" i="3"/>
  <c r="Z971" i="3"/>
  <c r="Z1053" i="3"/>
  <c r="Z938" i="3"/>
  <c r="Z1041" i="3"/>
  <c r="Z1001" i="3"/>
  <c r="Z1181" i="3"/>
  <c r="Z1199" i="3"/>
  <c r="Z949" i="3"/>
  <c r="Z1130" i="3"/>
  <c r="Z974" i="3"/>
  <c r="Z1140" i="3"/>
  <c r="Z1064" i="3"/>
  <c r="AA880" i="3"/>
  <c r="Z1173" i="3"/>
  <c r="Z1168" i="3"/>
  <c r="Z1162" i="3"/>
  <c r="Z1152" i="3"/>
  <c r="Z1137" i="3"/>
  <c r="Z1120" i="3"/>
  <c r="Z1147" i="3"/>
  <c r="Z1118" i="3"/>
  <c r="Z1103" i="3"/>
  <c r="Z999" i="3"/>
  <c r="Z1180" i="3"/>
  <c r="Z1088" i="3"/>
  <c r="Z969" i="3"/>
  <c r="Z906" i="3"/>
  <c r="Z890" i="3"/>
  <c r="Z1231" i="3"/>
  <c r="V138" i="122"/>
  <c r="Z1072" i="3"/>
  <c r="Z946" i="3"/>
  <c r="Z1012" i="3"/>
  <c r="Z964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92" i="3"/>
  <c r="AZ1108" i="3"/>
  <c r="AZ1015" i="3"/>
  <c r="AZ1136" i="3"/>
  <c r="AZ1171" i="3"/>
  <c r="AZ1199" i="3"/>
  <c r="AZ1144" i="3"/>
  <c r="AZ273" i="3"/>
  <c r="AZ319" i="3"/>
  <c r="AZ426" i="3"/>
  <c r="AZ442" i="3"/>
  <c r="AZ458" i="3"/>
  <c r="AZ506" i="3"/>
  <c r="AZ760" i="3"/>
  <c r="AZ906" i="3"/>
  <c r="AZ959" i="3"/>
  <c r="AZ1093" i="3"/>
  <c r="AZ1109" i="3"/>
  <c r="AZ1137" i="3"/>
  <c r="AZ1022" i="3"/>
  <c r="AZ1209" i="3"/>
  <c r="AZ578" i="3"/>
  <c r="AZ817" i="3"/>
  <c r="AZ951" i="3"/>
  <c r="AZ1168" i="3"/>
  <c r="AZ274" i="3"/>
  <c r="AZ320" i="3"/>
  <c r="AZ427" i="3"/>
  <c r="AZ443" i="3"/>
  <c r="AZ459" i="3"/>
  <c r="AZ555" i="3"/>
  <c r="AZ761" i="3"/>
  <c r="AZ907" i="3"/>
  <c r="AZ1094" i="3"/>
  <c r="AZ1110" i="3"/>
  <c r="AZ1138" i="3"/>
  <c r="AZ1154" i="3"/>
  <c r="AZ1164" i="3"/>
  <c r="AZ1170" i="3"/>
  <c r="AZ1215" i="3"/>
  <c r="AZ656" i="3"/>
  <c r="AZ1123" i="3"/>
  <c r="AZ321" i="3"/>
  <c r="AZ428" i="3"/>
  <c r="AZ444" i="3"/>
  <c r="AZ460" i="3"/>
  <c r="AZ524" i="3"/>
  <c r="AZ556" i="3"/>
  <c r="AZ604" i="3"/>
  <c r="AZ778" i="3"/>
  <c r="AZ908" i="3"/>
  <c r="AZ1095" i="3"/>
  <c r="AZ1139" i="3"/>
  <c r="AZ1155" i="3"/>
  <c r="AZ1023" i="3"/>
  <c r="AZ1222" i="3"/>
  <c r="AZ327" i="3"/>
  <c r="AZ530" i="3"/>
  <c r="AZ1085" i="3"/>
  <c r="AZ276" i="3"/>
  <c r="AZ429" i="3"/>
  <c r="AZ461" i="3"/>
  <c r="AZ525" i="3"/>
  <c r="AZ557" i="3"/>
  <c r="AZ605" i="3"/>
  <c r="AZ779" i="3"/>
  <c r="AZ909" i="3"/>
  <c r="AZ1029" i="3"/>
  <c r="AZ1096" i="3"/>
  <c r="AZ1111" i="3"/>
  <c r="AZ1079" i="3"/>
  <c r="AZ1140" i="3"/>
  <c r="AZ1157" i="3"/>
  <c r="AZ915" i="3"/>
  <c r="AZ1223" i="3"/>
  <c r="AZ466" i="3"/>
  <c r="AZ1116" i="3"/>
  <c r="AZ221" i="3"/>
  <c r="AZ323" i="3"/>
  <c r="AZ526" i="3"/>
  <c r="AZ574" i="3"/>
  <c r="AZ606" i="3"/>
  <c r="AZ684" i="3"/>
  <c r="AZ780" i="3"/>
  <c r="AZ813" i="3"/>
  <c r="AZ910" i="3"/>
  <c r="AZ963" i="3"/>
  <c r="AZ1081" i="3"/>
  <c r="AZ1097" i="3"/>
  <c r="AZ1112" i="3"/>
  <c r="AZ1080" i="3"/>
  <c r="AZ1141" i="3"/>
  <c r="AZ1158" i="3"/>
  <c r="AZ1010" i="3"/>
  <c r="AZ1013" i="3"/>
  <c r="AZ1225" i="3"/>
  <c r="AZ278" i="3"/>
  <c r="AZ324" i="3"/>
  <c r="AZ559" i="3"/>
  <c r="AZ575" i="3"/>
  <c r="AZ607" i="3"/>
  <c r="AZ685" i="3"/>
  <c r="AZ814" i="3"/>
  <c r="AZ911" i="3"/>
  <c r="AZ964" i="3"/>
  <c r="AZ1082" i="3"/>
  <c r="AZ1098" i="3"/>
  <c r="AZ1113" i="3"/>
  <c r="AZ1120" i="3"/>
  <c r="AZ1142" i="3"/>
  <c r="AZ1159" i="3"/>
  <c r="AZ1026" i="3"/>
  <c r="AZ1125" i="3"/>
  <c r="AZ626" i="3"/>
  <c r="AZ736" i="3"/>
  <c r="AZ1175" i="3"/>
  <c r="AZ223" i="3"/>
  <c r="AZ279" i="3"/>
  <c r="AZ325" i="3"/>
  <c r="AZ464" i="3"/>
  <c r="AZ560" i="3"/>
  <c r="AZ576" i="3"/>
  <c r="AZ654" i="3"/>
  <c r="AZ686" i="3"/>
  <c r="AZ815" i="3"/>
  <c r="AZ912" i="3"/>
  <c r="AZ965" i="3"/>
  <c r="AZ1083" i="3"/>
  <c r="AZ1099" i="3"/>
  <c r="AZ1114" i="3"/>
  <c r="AZ1121" i="3"/>
  <c r="AZ1143" i="3"/>
  <c r="AZ1028" i="3"/>
  <c r="AZ1046" i="3"/>
  <c r="AZ688" i="3"/>
  <c r="AZ967" i="3"/>
  <c r="AZ1160" i="3"/>
  <c r="AZ224" i="3"/>
  <c r="AZ326" i="3"/>
  <c r="AZ465" i="3"/>
  <c r="AZ561" i="3"/>
  <c r="AZ577" i="3"/>
  <c r="AZ655" i="3"/>
  <c r="AZ687" i="3"/>
  <c r="AZ816" i="3"/>
  <c r="AZ913" i="3"/>
  <c r="AZ950" i="3"/>
  <c r="AZ966" i="3"/>
  <c r="AZ1084" i="3"/>
  <c r="AZ1115" i="3"/>
  <c r="AZ1122" i="3"/>
  <c r="AZ1173" i="3"/>
  <c r="AZ1227" i="3"/>
  <c r="AZ1231" i="3"/>
  <c r="AZ531" i="3"/>
  <c r="AZ627" i="3"/>
  <c r="AZ856" i="3"/>
  <c r="AZ904" i="3"/>
  <c r="AZ952" i="3"/>
  <c r="AZ1107" i="3"/>
  <c r="AZ226" i="3"/>
  <c r="AZ818" i="3"/>
  <c r="AZ190" i="3"/>
  <c r="AZ953" i="3"/>
  <c r="AZ1180" i="3"/>
  <c r="AZ1147" i="3"/>
  <c r="AZ191" i="3"/>
  <c r="AZ455" i="3"/>
  <c r="AZ629" i="3"/>
  <c r="AZ954" i="3"/>
  <c r="AZ1117" i="3"/>
  <c r="AZ195" i="3"/>
  <c r="AZ469" i="3"/>
  <c r="AZ192" i="3"/>
  <c r="AZ456" i="3"/>
  <c r="AZ955" i="3"/>
  <c r="AZ1086" i="3"/>
  <c r="AZ1118" i="3"/>
  <c r="AZ1053" i="3"/>
  <c r="AZ269" i="3"/>
  <c r="AZ757" i="3"/>
  <c r="AZ1162" i="3"/>
  <c r="AZ1103" i="3"/>
  <c r="AZ631" i="3"/>
  <c r="AZ956" i="3"/>
  <c r="AZ1087" i="3"/>
  <c r="AZ1153" i="3"/>
  <c r="AZ501" i="3"/>
  <c r="AZ1091" i="3"/>
  <c r="AZ756" i="3"/>
  <c r="AZ317" i="3"/>
  <c r="AZ632" i="3"/>
  <c r="AZ957" i="3"/>
  <c r="AZ1088" i="3"/>
  <c r="AZ1014" i="3"/>
  <c r="AZ961" i="3"/>
  <c r="AZ373" i="3"/>
  <c r="AZ706" i="3"/>
  <c r="AZ486" i="3"/>
  <c r="AZ851" i="3"/>
  <c r="AZ193" i="3"/>
  <c r="AZ467" i="3"/>
  <c r="AZ737" i="3"/>
  <c r="AZ1089" i="3"/>
  <c r="AZ1119" i="3"/>
  <c r="AZ1129" i="3"/>
  <c r="AZ968" i="3"/>
  <c r="AZ502" i="3"/>
  <c r="AZ194" i="3"/>
  <c r="AZ440" i="3"/>
  <c r="AZ500" i="3"/>
  <c r="AZ689" i="3"/>
  <c r="AZ738" i="3"/>
  <c r="AZ1090" i="3"/>
  <c r="AZ1130" i="3"/>
  <c r="AZ739" i="3"/>
  <c r="AZ374" i="3"/>
  <c r="AZ1145" i="3"/>
  <c r="AZ1124" i="3"/>
  <c r="AZ227" i="3"/>
  <c r="AZ599" i="3"/>
  <c r="AZ969" i="3"/>
  <c r="AZ228" i="3"/>
  <c r="AZ270" i="3"/>
  <c r="AZ375" i="3"/>
  <c r="AZ407" i="3"/>
  <c r="AZ487" i="3"/>
  <c r="AZ503" i="3"/>
  <c r="AZ970" i="3"/>
  <c r="AZ1131" i="3"/>
  <c r="AZ1161" i="3"/>
  <c r="AZ229" i="3"/>
  <c r="AZ254" i="3"/>
  <c r="AZ271" i="3"/>
  <c r="AZ376" i="3"/>
  <c r="AZ408" i="3"/>
  <c r="AZ488" i="3"/>
  <c r="AZ504" i="3"/>
  <c r="AZ758" i="3"/>
  <c r="AZ971" i="3"/>
  <c r="AZ1102" i="3"/>
  <c r="AZ183" i="3"/>
  <c r="AZ255" i="3"/>
  <c r="AZ377" i="3"/>
  <c r="AZ409" i="3"/>
  <c r="AZ424" i="3"/>
  <c r="AZ657" i="3"/>
  <c r="AZ819" i="3"/>
  <c r="AZ852" i="3"/>
  <c r="AZ1163" i="3"/>
  <c r="AZ184" i="3"/>
  <c r="AZ393" i="3"/>
  <c r="AZ658" i="3"/>
  <c r="AZ820" i="3"/>
  <c r="AZ853" i="3"/>
  <c r="AZ1104" i="3"/>
  <c r="AZ1191" i="3"/>
  <c r="AZ659" i="3"/>
  <c r="AZ821" i="3"/>
  <c r="AZ854" i="3"/>
  <c r="AZ855" i="3"/>
  <c r="AZ1106" i="3"/>
  <c r="AZ185" i="3"/>
  <c r="AZ1105" i="3"/>
  <c r="AZ822" i="3"/>
  <c r="W1135" i="3"/>
  <c r="X797" i="3"/>
  <c r="X1006" i="3"/>
  <c r="I141" i="122"/>
  <c r="W1171" i="3"/>
  <c r="X867" i="3"/>
  <c r="W989" i="3"/>
  <c r="Z1061" i="3"/>
  <c r="Z1045" i="3"/>
  <c r="Z977" i="3"/>
  <c r="X1018" i="3"/>
  <c r="Z1018" i="3"/>
  <c r="W779" i="3"/>
  <c r="W966" i="3"/>
  <c r="H141" i="122"/>
  <c r="X792" i="3"/>
  <c r="X871" i="3"/>
  <c r="W138" i="122"/>
  <c r="W816" i="3"/>
  <c r="Z925" i="3"/>
  <c r="Z1009" i="3"/>
  <c r="X818" i="3"/>
  <c r="Z1125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1" i="3"/>
  <c r="X1064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66" i="3"/>
  <c r="X996" i="3"/>
  <c r="X1171" i="3"/>
  <c r="X826" i="3"/>
  <c r="X614" i="3"/>
  <c r="X787" i="3"/>
  <c r="W731" i="3"/>
  <c r="X325" i="3"/>
  <c r="X1133" i="3"/>
  <c r="W837" i="3"/>
  <c r="X837" i="3"/>
  <c r="X638" i="3"/>
  <c r="W619" i="3"/>
  <c r="X731" i="3"/>
  <c r="X932" i="3"/>
  <c r="X1053" i="3"/>
  <c r="U79" i="122" s="1"/>
  <c r="U95" i="122" s="1"/>
  <c r="W1073" i="3"/>
  <c r="X933" i="3"/>
  <c r="X1073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33" i="3"/>
  <c r="X727" i="3"/>
  <c r="W885" i="3"/>
  <c r="X966" i="3"/>
  <c r="G140" i="122"/>
  <c r="W928" i="3"/>
  <c r="X1072" i="3"/>
  <c r="X75" i="122"/>
  <c r="X141" i="122"/>
  <c r="Z996" i="3"/>
  <c r="Z1027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48" i="3"/>
  <c r="X928" i="3"/>
  <c r="W983" i="3"/>
  <c r="X1065" i="3"/>
  <c r="X960" i="3"/>
  <c r="X1026" i="3"/>
  <c r="V79" i="122" s="1"/>
  <c r="V95" i="122" s="1"/>
  <c r="W1023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40" i="3"/>
  <c r="X1040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3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21" i="3"/>
  <c r="V1120" i="3"/>
  <c r="V1080" i="3"/>
  <c r="V1147" i="3"/>
  <c r="X918" i="3"/>
  <c r="X895" i="3"/>
  <c r="X924" i="3"/>
  <c r="V995" i="3"/>
  <c r="V990" i="3"/>
  <c r="W942" i="3"/>
  <c r="X942" i="3"/>
  <c r="W1151" i="3"/>
  <c r="X1151" i="3"/>
  <c r="W1152" i="3"/>
  <c r="X1152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W1072" i="3"/>
  <c r="V1066" i="3"/>
  <c r="V1065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25" i="3"/>
  <c r="X1147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2" i="3"/>
  <c r="W1028" i="3"/>
  <c r="X984" i="3"/>
  <c r="W1066" i="3"/>
  <c r="W755" i="3"/>
  <c r="W818" i="3"/>
  <c r="X816" i="3"/>
  <c r="X1080" i="3"/>
  <c r="X1079" i="3"/>
  <c r="X952" i="3"/>
  <c r="X961" i="3"/>
  <c r="W894" i="3"/>
  <c r="X1010" i="3"/>
  <c r="X1028" i="3"/>
  <c r="X1130" i="3"/>
  <c r="X1023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0" i="3"/>
  <c r="X870" i="3"/>
  <c r="X779" i="3"/>
  <c r="X1121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47" i="3"/>
  <c r="X916" i="3"/>
  <c r="X886" i="3"/>
  <c r="W995" i="3"/>
  <c r="W990" i="3"/>
  <c r="X994" i="3"/>
  <c r="W806" i="3"/>
  <c r="X914" i="3"/>
  <c r="W842" i="3"/>
  <c r="X1046" i="3"/>
  <c r="W1030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90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21" i="3"/>
  <c r="W1080" i="3"/>
  <c r="W882" i="3"/>
  <c r="X868" i="3"/>
  <c r="U1136" i="3" a="1"/>
  <c r="U1119" i="3" a="1"/>
  <c r="U1084" i="3" a="1"/>
  <c r="U1117" i="3" a="1"/>
  <c r="U841" i="3" a="1"/>
  <c r="U114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32" i="3"/>
  <c r="W823" i="3"/>
  <c r="X831" i="3"/>
  <c r="X991" i="3"/>
  <c r="W1120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20" i="3"/>
  <c r="U36" i="122"/>
  <c r="U1129" i="3" a="1"/>
  <c r="O36" i="66" a="1"/>
  <c r="U1092" i="3" a="1"/>
  <c r="U1157" i="3" a="1"/>
  <c r="U1170" i="3" a="1"/>
  <c r="U1098" i="3" a="1"/>
  <c r="U1102" i="3" a="1"/>
  <c r="U1106" i="3" a="1"/>
  <c r="U829" i="3" a="1"/>
  <c r="U1159" i="3" a="1"/>
  <c r="U634" i="3" a="1"/>
  <c r="U1168" i="3" a="1"/>
  <c r="U1113" i="3" a="1"/>
  <c r="U1142" i="3" a="1"/>
  <c r="U1153" i="3" a="1"/>
  <c r="U1105" i="3" a="1"/>
  <c r="U1123" i="3" a="1"/>
  <c r="U1118" i="3" a="1"/>
  <c r="AD106" i="122"/>
  <c r="U1138" i="3" a="1"/>
  <c r="U957" i="3" a="1"/>
  <c r="U1114" i="3" a="1"/>
  <c r="U1107" i="3" a="1"/>
  <c r="U1091" i="3" a="1"/>
  <c r="U1137" i="3" a="1"/>
  <c r="U188" i="3" a="1"/>
  <c r="U1110" i="3" a="1"/>
  <c r="L120" i="122"/>
  <c r="K140" i="122"/>
  <c r="U1095" i="3" a="1"/>
  <c r="U1111" i="3" a="1"/>
  <c r="U1093" i="3" a="1"/>
  <c r="U1108" i="3" a="1"/>
  <c r="E48" i="122"/>
  <c r="AA80" i="122"/>
  <c r="K120" i="122"/>
  <c r="F94" i="122"/>
  <c r="F120" i="122"/>
  <c r="F48" i="122"/>
  <c r="G94" i="122"/>
  <c r="U1162" i="3" a="1"/>
  <c r="U1158" i="3" a="1"/>
  <c r="U301" i="3" a="1"/>
  <c r="U357" i="3" a="1"/>
  <c r="U1100" i="3" a="1"/>
  <c r="U1082" i="3" a="1"/>
  <c r="U475" i="3" a="1"/>
  <c r="U1096" i="3" a="1"/>
  <c r="U1081" i="3" a="1"/>
  <c r="U1094" i="3" a="1"/>
  <c r="U1112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22" i="3" a="1"/>
  <c r="U1101" i="3" a="1"/>
  <c r="U190" i="3" a="1"/>
  <c r="U1086" i="3" a="1"/>
  <c r="U1143" i="3" a="1"/>
  <c r="U1029" i="3" a="1"/>
  <c r="U1163" i="3" a="1"/>
  <c r="U1141" i="3" a="1"/>
  <c r="U1131" i="3" a="1"/>
  <c r="U1109" i="3" a="1"/>
  <c r="U1139" i="3" a="1"/>
  <c r="U912" i="3" a="1"/>
  <c r="U1097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15" i="3" a="1"/>
  <c r="U1164" i="3" a="1"/>
  <c r="U1099" i="3" a="1"/>
  <c r="U214" i="3" a="1"/>
  <c r="U1087" i="3" a="1"/>
  <c r="U1116" i="3" a="1"/>
  <c r="U1089" i="3" a="1"/>
  <c r="U1083" i="3" a="1"/>
  <c r="U1103" i="3" a="1"/>
  <c r="U1088" i="3" a="1"/>
  <c r="U1134" i="3" a="1"/>
  <c r="U487" i="3" a="1"/>
  <c r="U1140" i="3" a="1"/>
  <c r="U1104" i="3" a="1"/>
  <c r="U421" i="3" a="1"/>
  <c r="U1124" i="3" a="1"/>
  <c r="U1085" i="3" a="1"/>
  <c r="U1161" i="3" a="1"/>
  <c r="U1160" i="3" a="1"/>
  <c r="Q97" i="69"/>
  <c r="AU58" i="70" a="1"/>
  <c r="AU86" i="70" l="1" a="1"/>
  <c r="AW641" i="3" a="1"/>
  <c r="AW248" i="3" a="1"/>
  <c r="AW243" i="3" a="1"/>
  <c r="AU92" i="70" a="1"/>
  <c r="AW244" i="3" a="1"/>
  <c r="AU140" i="70" a="1"/>
  <c r="AW246" i="3" a="1"/>
  <c r="AW241" i="3" a="1"/>
  <c r="AZ230" i="70"/>
  <c r="BB230" i="70"/>
  <c r="BA230" i="70"/>
  <c r="AU90" i="70" a="1"/>
  <c r="AW659" i="3" a="1"/>
  <c r="AW242" i="3" a="1"/>
  <c r="AW245" i="3" a="1"/>
  <c r="BA1062" i="3"/>
  <c r="BD1062" i="3" s="1"/>
  <c r="BA1071" i="3"/>
  <c r="BC1071" i="3" s="1"/>
  <c r="W49" i="122"/>
  <c r="V1071" i="3"/>
  <c r="W1071" i="3"/>
  <c r="X1062" i="3"/>
  <c r="W1062" i="3"/>
  <c r="V1062" i="3"/>
  <c r="AY259" i="70"/>
  <c r="BB259" i="70" s="1"/>
  <c r="AY229" i="70"/>
  <c r="AZ229" i="70" s="1"/>
  <c r="AY226" i="70"/>
  <c r="BB226" i="70" s="1"/>
  <c r="AY227" i="70"/>
  <c r="BB227" i="70" s="1"/>
  <c r="AY262" i="70"/>
  <c r="AZ262" i="70" s="1"/>
  <c r="AY256" i="70"/>
  <c r="BA256" i="70" s="1"/>
  <c r="AY270" i="70"/>
  <c r="BB270" i="70" s="1"/>
  <c r="AY247" i="70"/>
  <c r="BA247" i="70" s="1"/>
  <c r="AY274" i="70"/>
  <c r="BB274" i="70" s="1"/>
  <c r="AY258" i="70"/>
  <c r="BB258" i="70" s="1"/>
  <c r="AY261" i="70"/>
  <c r="AZ261" i="70" s="1"/>
  <c r="AY269" i="70"/>
  <c r="BB269" i="70" s="1"/>
  <c r="BA849" i="3"/>
  <c r="BD849" i="3" s="1"/>
  <c r="BA1063" i="3"/>
  <c r="BC1063" i="3" s="1"/>
  <c r="AY252" i="70"/>
  <c r="AY249" i="70"/>
  <c r="AY248" i="70"/>
  <c r="AY255" i="70"/>
  <c r="AY254" i="70"/>
  <c r="AY272" i="70"/>
  <c r="AY257" i="70"/>
  <c r="AY273" i="70"/>
  <c r="BB260" i="70"/>
  <c r="BA260" i="70"/>
  <c r="AZ260" i="70"/>
  <c r="AY264" i="70"/>
  <c r="AY268" i="70"/>
  <c r="AY267" i="70"/>
  <c r="AY251" i="70"/>
  <c r="AY253" i="70"/>
  <c r="AY263" i="70"/>
  <c r="AY271" i="70"/>
  <c r="AY266" i="70"/>
  <c r="AY228" i="70"/>
  <c r="AY250" i="70"/>
  <c r="AY265" i="70"/>
  <c r="W1063" i="3"/>
  <c r="X1063" i="3"/>
  <c r="V1063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09" i="3"/>
  <c r="T114" i="122"/>
  <c r="T116" i="122" s="1"/>
  <c r="T117" i="122"/>
  <c r="W28" i="122"/>
  <c r="W48" i="122" s="1"/>
  <c r="W46" i="122"/>
  <c r="V28" i="122"/>
  <c r="X28" i="122"/>
  <c r="X48" i="122" s="1"/>
  <c r="X46" i="122"/>
  <c r="X1215" i="3"/>
  <c r="X1209" i="3"/>
  <c r="W1215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4" i="3"/>
  <c r="W1024" i="3"/>
  <c r="X1024" i="3"/>
  <c r="V1055" i="3"/>
  <c r="W1055" i="3"/>
  <c r="X1055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69" i="3"/>
  <c r="W1169" i="3"/>
  <c r="X1165" i="3"/>
  <c r="W21" i="122" s="1"/>
  <c r="W1165" i="3"/>
  <c r="V1165" i="3"/>
  <c r="V1232" i="3"/>
  <c r="W1232" i="3"/>
  <c r="X1232" i="3"/>
  <c r="V59" i="122" s="1"/>
  <c r="V75" i="122" s="1"/>
  <c r="V1234" i="3"/>
  <c r="W1234" i="3"/>
  <c r="X1234" i="3"/>
  <c r="X56" i="122" s="1"/>
  <c r="V1235" i="3"/>
  <c r="W1235" i="3"/>
  <c r="X1235" i="3"/>
  <c r="V2" i="122"/>
  <c r="V4" i="122" s="1"/>
  <c r="X1033" i="3"/>
  <c r="W1033" i="3"/>
  <c r="V1033" i="3"/>
  <c r="X1017" i="3"/>
  <c r="T5" i="122" s="1"/>
  <c r="W1017" i="3"/>
  <c r="V1017" i="3"/>
  <c r="X1167" i="3"/>
  <c r="W1167" i="3"/>
  <c r="V1167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38" i="3"/>
  <c r="X1047" i="3"/>
  <c r="U29" i="122" s="1"/>
  <c r="W1047" i="3"/>
  <c r="V1047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049" i="3"/>
  <c r="W1049" i="3"/>
  <c r="V1049" i="3"/>
  <c r="V1048" i="3"/>
  <c r="X1048" i="3"/>
  <c r="W1048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35" i="3"/>
  <c r="X113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5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27" i="3"/>
  <c r="D30" i="122"/>
  <c r="G9" i="122"/>
  <c r="G25" i="122" s="1"/>
  <c r="J26" i="122"/>
  <c r="J28" i="122" s="1"/>
  <c r="D80" i="122"/>
  <c r="D38" i="122"/>
  <c r="K9" i="122"/>
  <c r="W1227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B247" i="70" l="1"/>
  <c r="AZ259" i="70"/>
  <c r="BB229" i="70"/>
  <c r="BA262" i="70"/>
  <c r="BB261" i="70"/>
  <c r="BA269" i="70"/>
  <c r="AZ227" i="70"/>
  <c r="BA270" i="70"/>
  <c r="BA258" i="70"/>
  <c r="BA229" i="70"/>
  <c r="BB262" i="70"/>
  <c r="BA261" i="70"/>
  <c r="AZ247" i="70"/>
  <c r="V66" i="122"/>
  <c r="W60" i="122"/>
  <c r="W62" i="122" s="1"/>
  <c r="X66" i="122"/>
  <c r="W18" i="122"/>
  <c r="W20" i="122" s="1"/>
  <c r="Y20" i="122" s="1"/>
  <c r="BA226" i="70"/>
  <c r="BB1062" i="3"/>
  <c r="BB1071" i="3"/>
  <c r="BC1062" i="3"/>
  <c r="BD1071" i="3"/>
  <c r="O49" i="122"/>
  <c r="X22" i="122"/>
  <c r="AZ274" i="70"/>
  <c r="BB256" i="70"/>
  <c r="AZ226" i="70"/>
  <c r="AZ256" i="70"/>
  <c r="BA274" i="70"/>
  <c r="AZ269" i="70"/>
  <c r="AZ270" i="70"/>
  <c r="BA259" i="70"/>
  <c r="AZ258" i="70"/>
  <c r="BA227" i="70"/>
  <c r="BB1063" i="3"/>
  <c r="BB849" i="3"/>
  <c r="BD1063" i="3"/>
  <c r="BC849" i="3"/>
  <c r="BB228" i="70"/>
  <c r="BA228" i="70"/>
  <c r="AZ228" i="70"/>
  <c r="AZ263" i="70"/>
  <c r="BA263" i="70"/>
  <c r="BB263" i="70"/>
  <c r="AZ264" i="70"/>
  <c r="BA264" i="70"/>
  <c r="BB264" i="70"/>
  <c r="AZ272" i="70"/>
  <c r="BA272" i="70"/>
  <c r="BB272" i="70"/>
  <c r="AZ248" i="70"/>
  <c r="BA248" i="70"/>
  <c r="BB248" i="70"/>
  <c r="AZ265" i="70"/>
  <c r="BA265" i="70"/>
  <c r="BB265" i="70"/>
  <c r="AZ266" i="70"/>
  <c r="BA266" i="70"/>
  <c r="BB266" i="70"/>
  <c r="BB253" i="70"/>
  <c r="BA253" i="70"/>
  <c r="AZ253" i="70"/>
  <c r="AZ267" i="70"/>
  <c r="BA267" i="70"/>
  <c r="BB267" i="70"/>
  <c r="BB273" i="70"/>
  <c r="BA273" i="70"/>
  <c r="AZ273" i="70"/>
  <c r="BB254" i="70"/>
  <c r="BA254" i="70"/>
  <c r="AZ254" i="70"/>
  <c r="AZ249" i="70"/>
  <c r="BA249" i="70"/>
  <c r="BB249" i="70"/>
  <c r="AZ250" i="70"/>
  <c r="BA250" i="70"/>
  <c r="BB250" i="70"/>
  <c r="AZ271" i="70"/>
  <c r="BA271" i="70"/>
  <c r="BB271" i="70"/>
  <c r="AZ251" i="70"/>
  <c r="BA251" i="70"/>
  <c r="BB251" i="70"/>
  <c r="AZ268" i="70"/>
  <c r="BA268" i="70"/>
  <c r="BB268" i="70"/>
  <c r="AZ257" i="70"/>
  <c r="BA257" i="70"/>
  <c r="BB257" i="70"/>
  <c r="AZ255" i="70"/>
  <c r="BA255" i="70"/>
  <c r="BB255" i="70"/>
  <c r="AZ252" i="70"/>
  <c r="BA252" i="70"/>
  <c r="BB252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38" i="3"/>
  <c r="U1223" i="3" a="1"/>
  <c r="W1038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78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057" i="3"/>
  <c r="X1057" i="3"/>
  <c r="W1057" i="3"/>
  <c r="T72" i="122"/>
  <c r="T104" i="122"/>
  <c r="T120" i="122" s="1"/>
  <c r="AA63" i="122"/>
  <c r="R2" i="122"/>
  <c r="R5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AA60" i="122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25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1128" i="3" s="1" a="1"/>
  <c r="AW1128" i="3" s="1"/>
  <c r="BA1128" i="3" s="1"/>
  <c r="AW781" i="3" a="1"/>
  <c r="C31" i="47"/>
  <c r="AW922" i="3" a="1"/>
  <c r="AW875" i="3" a="1"/>
  <c r="AW113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3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32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80" i="3"/>
  <c r="W1180" i="3"/>
  <c r="V1180" i="3"/>
  <c r="U6" i="122"/>
  <c r="U22" i="122" s="1"/>
  <c r="V1061" i="3"/>
  <c r="W1061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BC1128" i="3" l="1"/>
  <c r="BB1128" i="3"/>
  <c r="BD1128" i="3"/>
  <c r="AC49" i="122"/>
  <c r="V48" i="122"/>
  <c r="Z48" i="122" s="1"/>
  <c r="AA45" i="122"/>
  <c r="V46" i="122"/>
  <c r="AA46" i="122" s="1"/>
  <c r="Z44" i="122"/>
  <c r="AA42" i="122"/>
  <c r="V102" i="122"/>
  <c r="AA102" i="122" s="1"/>
  <c r="V105" i="122"/>
  <c r="AW1146" i="3" a="1"/>
  <c r="AW1146" i="3" s="1"/>
  <c r="BA1146" i="3" s="1"/>
  <c r="AW981" i="3" a="1"/>
  <c r="AW985" i="3" a="1"/>
  <c r="AW986" i="3" a="1"/>
  <c r="AW982" i="3" a="1"/>
  <c r="AW1126" i="3" a="1"/>
  <c r="AW988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1041" i="3" s="1" a="1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45" i="3" a="1"/>
  <c r="AW992" i="3" a="1"/>
  <c r="AW937" i="3" a="1"/>
  <c r="AW984" i="3" a="1"/>
  <c r="AW1046" i="3" a="1"/>
  <c r="AW868" i="3" a="1"/>
  <c r="AU171" i="70" a="1"/>
  <c r="AW1001" i="3" a="1"/>
  <c r="AW804" i="3" a="1"/>
  <c r="AW971" i="3" a="1"/>
  <c r="AU164" i="70" a="1"/>
  <c r="AU165" i="70" a="1"/>
  <c r="AW999" i="3" a="1"/>
  <c r="AW970" i="3" a="1"/>
  <c r="AU162" i="70" a="1"/>
  <c r="AW1135" i="3" a="1"/>
  <c r="AW994" i="3" a="1"/>
  <c r="AU163" i="70" a="1"/>
  <c r="AW974" i="3" a="1"/>
  <c r="U8" i="122"/>
  <c r="Z140" i="122"/>
  <c r="AW1042" i="3" l="1" a="1"/>
  <c r="AW1121" i="3" a="1"/>
  <c r="AC46" i="122"/>
  <c r="Y48" i="122"/>
  <c r="V118" i="122"/>
  <c r="AC118" i="122" s="1"/>
  <c r="V104" i="122"/>
  <c r="Y104" i="122" s="1"/>
  <c r="V121" i="122"/>
  <c r="AA105" i="122"/>
  <c r="AW1182" i="3" a="1"/>
  <c r="AW1182" i="3" s="1"/>
  <c r="BA1182" i="3" s="1"/>
  <c r="AW1031" i="3" a="1"/>
  <c r="AW1031" i="3" s="1"/>
  <c r="BA1031" i="3" s="1"/>
  <c r="AW993" i="3" a="1"/>
  <c r="AW1000" i="3" a="1"/>
  <c r="AW1021" i="3" a="1"/>
  <c r="AW1037" i="3" a="1"/>
  <c r="AW1037" i="3" s="1"/>
  <c r="BA1037" i="3" s="1"/>
  <c r="AW1184" i="3" a="1"/>
  <c r="AW1020" i="3" a="1"/>
  <c r="AW1025" i="3" a="1"/>
  <c r="AW1019" i="3" a="1"/>
  <c r="AW1024" i="3" a="1"/>
  <c r="AW1017" i="3" a="1"/>
  <c r="AW1048" i="3" a="1"/>
  <c r="AW1183" i="3" a="1"/>
  <c r="AW1129" i="3" a="1"/>
  <c r="AW1079" i="3" a="1"/>
  <c r="AW1080" i="3" a="1"/>
  <c r="AW1152" i="3" a="1"/>
  <c r="AW1120" i="3" a="1"/>
  <c r="AW1030" i="3" a="1"/>
  <c r="AW1034" i="3" a="1"/>
  <c r="BC1146" i="3"/>
  <c r="BD1146" i="3"/>
  <c r="BB1146" i="3"/>
  <c r="V8" i="122"/>
  <c r="V24" i="122" s="1"/>
  <c r="U24" i="122"/>
  <c r="AU182" i="70" a="1"/>
  <c r="AU181" i="70" a="1"/>
  <c r="AU183" i="70" a="1"/>
  <c r="AU184" i="70" a="1"/>
  <c r="AW1130" i="3" a="1"/>
  <c r="AW1171" i="3" a="1"/>
  <c r="AW1023" i="3" a="1"/>
  <c r="AW1147" i="3" a="1"/>
  <c r="AW1151" i="3" a="1"/>
  <c r="AW983" i="3" a="1"/>
  <c r="AU169" i="70" a="1"/>
  <c r="AU167" i="70" a="1"/>
  <c r="AU170" i="70" a="1"/>
  <c r="C40" i="47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AW1027" i="3" l="1" a="1"/>
  <c r="AW1059" i="3" a="1"/>
  <c r="AW1059" i="3" s="1"/>
  <c r="BA1059" i="3" s="1"/>
  <c r="AW1032" i="3" a="1"/>
  <c r="AW1032" i="3" s="1"/>
  <c r="BA1032" i="3" s="1"/>
  <c r="AW1039" i="3" a="1"/>
  <c r="AW1039" i="3" s="1"/>
  <c r="BA1039" i="3" s="1"/>
  <c r="BD1039" i="3" s="1"/>
  <c r="AW1036" i="3" a="1"/>
  <c r="AW1036" i="3" s="1"/>
  <c r="BA1036" i="3" s="1"/>
  <c r="AW1043" i="3" a="1"/>
  <c r="AW1043" i="3" s="1"/>
  <c r="BA1043" i="3" s="1"/>
  <c r="AW1172" i="3" a="1"/>
  <c r="AW1172" i="3" s="1"/>
  <c r="BA1172" i="3" s="1"/>
  <c r="AW1127" i="3" a="1"/>
  <c r="AW1127" i="3" s="1"/>
  <c r="BA1127" i="3" s="1"/>
  <c r="V120" i="122"/>
  <c r="Y120" i="122" s="1"/>
  <c r="AA118" i="122"/>
  <c r="Z104" i="122"/>
  <c r="AC121" i="122"/>
  <c r="AA121" i="122"/>
  <c r="BB1037" i="3"/>
  <c r="BD1037" i="3"/>
  <c r="BC1037" i="3"/>
  <c r="BB1031" i="3"/>
  <c r="BD1031" i="3"/>
  <c r="BC1031" i="3"/>
  <c r="AW1038" i="3" a="1"/>
  <c r="AW1047" i="3" a="1"/>
  <c r="AW1044" i="3" a="1"/>
  <c r="AW1044" i="3" s="1"/>
  <c r="BA1044" i="3" s="1"/>
  <c r="AW1169" i="3" a="1"/>
  <c r="AW1167" i="3" a="1"/>
  <c r="AW1049" i="3" a="1"/>
  <c r="AW1186" i="3" a="1"/>
  <c r="BB1182" i="3"/>
  <c r="BC1182" i="3"/>
  <c r="BD1182" i="3"/>
  <c r="AW1053" i="3" a="1"/>
  <c r="AW1022" i="3" a="1"/>
  <c r="AU185" i="70" a="1"/>
  <c r="AW1018" i="3" a="1"/>
  <c r="AW1148" i="3" a="1"/>
  <c r="AW1180" i="3" a="1"/>
  <c r="AU186" i="70" a="1"/>
  <c r="AW1040" i="3" a="1"/>
  <c r="C41" i="47"/>
  <c r="AU173" i="70" a="1"/>
  <c r="BD1032" i="3" l="1"/>
  <c r="BC1032" i="3"/>
  <c r="BB1032" i="3"/>
  <c r="BC1127" i="3"/>
  <c r="BD1127" i="3"/>
  <c r="BB1127" i="3"/>
  <c r="BC1172" i="3"/>
  <c r="BD1172" i="3"/>
  <c r="BB1172" i="3"/>
  <c r="BD1043" i="3"/>
  <c r="BC1043" i="3"/>
  <c r="BB1043" i="3"/>
  <c r="BB1036" i="3"/>
  <c r="BD1036" i="3"/>
  <c r="BC1036" i="3"/>
  <c r="AW1187" i="3" a="1"/>
  <c r="AW1187" i="3" s="1"/>
  <c r="BA1187" i="3" s="1"/>
  <c r="AW1074" i="3" a="1"/>
  <c r="AW1074" i="3" s="1"/>
  <c r="BA1074" i="3" s="1"/>
  <c r="AW1067" i="3" a="1"/>
  <c r="AW1067" i="3" s="1"/>
  <c r="BA1067" i="3" s="1"/>
  <c r="AW1233" i="3" a="1"/>
  <c r="AW1233" i="3" s="1"/>
  <c r="BA1233" i="3" s="1"/>
  <c r="BD1233" i="3" s="1"/>
  <c r="AW1068" i="3" a="1"/>
  <c r="AW1068" i="3" s="1"/>
  <c r="BA1068" i="3" s="1"/>
  <c r="AW1050" i="3" a="1"/>
  <c r="AW1149" i="3" a="1"/>
  <c r="AW1149" i="3" s="1"/>
  <c r="BA1149" i="3" s="1"/>
  <c r="AW1150" i="3" a="1"/>
  <c r="AW1150" i="3" s="1"/>
  <c r="BA1150" i="3" s="1"/>
  <c r="AW1176" i="3" a="1"/>
  <c r="AW1176" i="3" s="1"/>
  <c r="BA1176" i="3" s="1"/>
  <c r="BD1176" i="3" s="1"/>
  <c r="AW1058" i="3" a="1"/>
  <c r="AW1058" i="3" s="1"/>
  <c r="BA1058" i="3" s="1"/>
  <c r="BD1058" i="3" s="1"/>
  <c r="BD1059" i="3"/>
  <c r="BC1059" i="3"/>
  <c r="BB1059" i="3"/>
  <c r="Z120" i="122"/>
  <c r="AU201" i="70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07" i="3" a="1"/>
  <c r="AW1208" i="3" a="1"/>
  <c r="AW1055" i="3" a="1"/>
  <c r="AW1052" i="3" a="1"/>
  <c r="AW1051" i="3" a="1"/>
  <c r="AW1232" i="3" a="1"/>
  <c r="AW1057" i="3" a="1"/>
  <c r="AW1189" i="3" a="1"/>
  <c r="AW1188" i="3" a="1"/>
  <c r="AW1026" i="3" a="1"/>
  <c r="AW1045" i="3" a="1"/>
  <c r="BB1044" i="3"/>
  <c r="BD1044" i="3"/>
  <c r="BC1044" i="3"/>
  <c r="AU212" i="70" a="1"/>
  <c r="AU193" i="70" a="1"/>
  <c r="AU194" i="70" a="1"/>
  <c r="AU191" i="70" a="1"/>
  <c r="AU213" i="70" a="1"/>
  <c r="AU192" i="70" a="1"/>
  <c r="AW1072" i="3" a="1"/>
  <c r="AU199" i="70" a="1"/>
  <c r="AU197" i="70" a="1"/>
  <c r="C42" i="47"/>
  <c r="AW1224" i="3" l="1" a="1"/>
  <c r="AW1224" i="3" s="1"/>
  <c r="BA1224" i="3" s="1"/>
  <c r="AW1178" i="3" a="1"/>
  <c r="AW1178" i="3" s="1"/>
  <c r="BA1178" i="3" s="1"/>
  <c r="BD1178" i="3" s="1"/>
  <c r="AW1166" i="3" a="1"/>
  <c r="AW1166" i="3" s="1"/>
  <c r="BA1166" i="3" s="1"/>
  <c r="BD1166" i="3" s="1"/>
  <c r="AW1060" i="3" a="1"/>
  <c r="AW1060" i="3" s="1"/>
  <c r="BA1060" i="3" s="1"/>
  <c r="BD1060" i="3" s="1"/>
  <c r="AW1069" i="3" a="1"/>
  <c r="AW1069" i="3" s="1"/>
  <c r="BA1069" i="3" s="1"/>
  <c r="AW1165" i="3" a="1"/>
  <c r="AW1070" i="3" a="1"/>
  <c r="AW1070" i="3" s="1"/>
  <c r="BA1070" i="3" s="1"/>
  <c r="AW1075" i="3" a="1"/>
  <c r="AW1075" i="3" s="1"/>
  <c r="BA1075" i="3" s="1"/>
  <c r="AW1076" i="3" a="1"/>
  <c r="AW1076" i="3" s="1"/>
  <c r="BA1076" i="3" s="1"/>
  <c r="BD1150" i="3"/>
  <c r="BC1150" i="3"/>
  <c r="BB1150" i="3"/>
  <c r="BB1149" i="3"/>
  <c r="BD1149" i="3"/>
  <c r="BC1149" i="3"/>
  <c r="BD1068" i="3"/>
  <c r="BC1068" i="3"/>
  <c r="BB1068" i="3"/>
  <c r="BD1067" i="3"/>
  <c r="BB1067" i="3"/>
  <c r="BC1067" i="3"/>
  <c r="BD1074" i="3"/>
  <c r="BB1074" i="3"/>
  <c r="BC1074" i="3"/>
  <c r="BD1187" i="3"/>
  <c r="BC1187" i="3"/>
  <c r="BB1187" i="3"/>
  <c r="AW1200" i="3" a="1"/>
  <c r="BA198" i="70"/>
  <c r="AZ198" i="70"/>
  <c r="BB198" i="70"/>
  <c r="AZ195" i="70"/>
  <c r="BB195" i="70"/>
  <c r="BA195" i="70"/>
  <c r="BA200" i="70"/>
  <c r="AZ200" i="70"/>
  <c r="BB200" i="70"/>
  <c r="AW1190" i="3" a="1"/>
  <c r="AW1190" i="3" s="1"/>
  <c r="BA1190" i="3" s="1"/>
  <c r="AU215" i="70" a="1"/>
  <c r="AU215" i="70" s="1"/>
  <c r="AY215" i="70" s="1"/>
  <c r="AW1033" i="3" a="1"/>
  <c r="AW1035" i="3" a="1"/>
  <c r="AW1228" i="3" a="1"/>
  <c r="AW1228" i="3" s="1"/>
  <c r="BA1228" i="3" s="1"/>
  <c r="BD1228" i="3" s="1"/>
  <c r="AW1194" i="3" a="1"/>
  <c r="AW1054" i="3" a="1"/>
  <c r="AW1202" i="3" a="1"/>
  <c r="AW1185" i="3" a="1"/>
  <c r="AW1028" i="3" a="1"/>
  <c r="AW1061" i="3" a="1"/>
  <c r="BA196" i="70"/>
  <c r="AZ196" i="70"/>
  <c r="BB196" i="70"/>
  <c r="BA201" i="70"/>
  <c r="BB201" i="70"/>
  <c r="AZ201" i="70"/>
  <c r="AW1064" i="3" a="1"/>
  <c r="AW1073" i="3" a="1"/>
  <c r="AU203" i="70" a="1"/>
  <c r="AU202" i="70" a="1"/>
  <c r="AU208" i="70" a="1"/>
  <c r="C43" i="47"/>
  <c r="AW1077" i="3" s="1" a="1"/>
  <c r="AW1077" i="3" s="1"/>
  <c r="BA1077" i="3" s="1"/>
  <c r="AU206" i="70" a="1"/>
  <c r="AU209" i="70" a="1"/>
  <c r="AU205" i="70" a="1"/>
  <c r="AU207" i="70" a="1"/>
  <c r="AU204" i="70" a="1"/>
  <c r="AU214" i="70" a="1"/>
  <c r="BD1077" i="3" l="1"/>
  <c r="BC1077" i="3"/>
  <c r="BB1077" i="3"/>
  <c r="AW1203" i="3" a="1"/>
  <c r="BD1076" i="3"/>
  <c r="BC1076" i="3"/>
  <c r="BB1076" i="3"/>
  <c r="AW1204" i="3" a="1"/>
  <c r="BB1075" i="3"/>
  <c r="BD1075" i="3"/>
  <c r="BC1075" i="3"/>
  <c r="AW1230" i="3" a="1"/>
  <c r="BD1070" i="3"/>
  <c r="BC1070" i="3"/>
  <c r="BB1070" i="3"/>
  <c r="BB1069" i="3"/>
  <c r="BD1069" i="3"/>
  <c r="BC1069" i="3"/>
  <c r="BD1224" i="3"/>
  <c r="BC1224" i="3"/>
  <c r="BB1224" i="3"/>
  <c r="BB215" i="70"/>
  <c r="BA215" i="70"/>
  <c r="AZ215" i="70"/>
  <c r="AW1197" i="3" a="1"/>
  <c r="AW1197" i="3" s="1"/>
  <c r="BA1197" i="3" s="1"/>
  <c r="BD1197" i="3" s="1"/>
  <c r="AW1206" i="3" a="1"/>
  <c r="AW1196" i="3" a="1"/>
  <c r="AW1195" i="3" a="1"/>
  <c r="AW1177" i="3" a="1"/>
  <c r="BD1190" i="3"/>
  <c r="BC1190" i="3"/>
  <c r="BB1190" i="3"/>
  <c r="AW1065" i="3" a="1"/>
  <c r="AU210" i="70" a="1"/>
  <c r="AU211" i="70" a="1"/>
  <c r="C44" i="47"/>
  <c r="AW1234" i="3" s="1" a="1"/>
  <c r="AU216" i="70" a="1"/>
  <c r="AW1210" i="3" l="1" a="1"/>
  <c r="AW1210" i="3" s="1"/>
  <c r="BA1210" i="3" s="1"/>
  <c r="AW1217" i="3" a="1"/>
  <c r="AW1217" i="3" s="1"/>
  <c r="BA1217" i="3" s="1"/>
  <c r="AW1201" i="3" a="1"/>
  <c r="AW1201" i="3" s="1"/>
  <c r="BA1201" i="3" s="1"/>
  <c r="BD1201" i="3" s="1"/>
  <c r="AW1056" i="3" a="1"/>
  <c r="AW1212" i="3" a="1"/>
  <c r="AW1212" i="3" s="1"/>
  <c r="BA1212" i="3" s="1"/>
  <c r="AW1229" i="3" a="1"/>
  <c r="AW1229" i="3" s="1"/>
  <c r="BA1229" i="3" s="1"/>
  <c r="BD1229" i="3" s="1"/>
  <c r="AW1198" i="3" a="1"/>
  <c r="AW1198" i="3" s="1"/>
  <c r="BA1198" i="3" s="1"/>
  <c r="BD1198" i="3" s="1"/>
  <c r="AW1066" i="3" a="1"/>
  <c r="AU217" i="70" a="1"/>
  <c r="C45" i="47"/>
  <c r="AW1218" i="3" l="1" a="1"/>
  <c r="AW1218" i="3" s="1"/>
  <c r="BA1218" i="3" s="1"/>
  <c r="AW1192" i="3" a="1"/>
  <c r="AW1192" i="3" s="1"/>
  <c r="BA1192" i="3" s="1"/>
  <c r="BD1192" i="3" s="1"/>
  <c r="AW1211" i="3" a="1"/>
  <c r="AW1211" i="3" s="1"/>
  <c r="BA1211" i="3" s="1"/>
  <c r="BC1217" i="3"/>
  <c r="BB1217" i="3"/>
  <c r="BD1217" i="3"/>
  <c r="BC1210" i="3"/>
  <c r="BB1210" i="3"/>
  <c r="BD1210" i="3"/>
  <c r="BB1212" i="3"/>
  <c r="BC1212" i="3"/>
  <c r="BD1212" i="3"/>
  <c r="AW1213" i="3" a="1"/>
  <c r="AW1213" i="3" s="1"/>
  <c r="BA1213" i="3" s="1"/>
  <c r="AW1205" i="3" a="1"/>
  <c r="C46" i="47"/>
  <c r="AU218" i="70" a="1"/>
  <c r="AW1193" i="3" l="1" a="1"/>
  <c r="AW1193" i="3" s="1"/>
  <c r="BA1193" i="3" s="1"/>
  <c r="BD1193" i="3" s="1"/>
  <c r="AW1214" i="3" a="1"/>
  <c r="AW1214" i="3" s="1"/>
  <c r="BA1214" i="3" s="1"/>
  <c r="AW1216" i="3" a="1"/>
  <c r="AW1216" i="3" s="1"/>
  <c r="BA1216" i="3" s="1"/>
  <c r="BC1211" i="3"/>
  <c r="BB1211" i="3"/>
  <c r="BD1211" i="3"/>
  <c r="BB1218" i="3"/>
  <c r="BC1218" i="3"/>
  <c r="BD1218" i="3"/>
  <c r="C47" i="47"/>
  <c r="BC1213" i="3"/>
  <c r="BD1213" i="3"/>
  <c r="BB1213" i="3"/>
  <c r="S65" i="66"/>
  <c r="S64" i="66"/>
  <c r="O36" i="66"/>
  <c r="AU281" i="70"/>
  <c r="AY281" i="70" s="1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8" i="70"/>
  <c r="AY238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35" i="3"/>
  <c r="AW1234" i="3"/>
  <c r="BA1234" i="3" s="1"/>
  <c r="BD1234" i="3" s="1"/>
  <c r="F1234" i="3"/>
  <c r="AW1232" i="3"/>
  <c r="BA1232" i="3" s="1"/>
  <c r="BD1232" i="3" s="1"/>
  <c r="F1232" i="3"/>
  <c r="AW1231" i="3"/>
  <c r="BA1231" i="3" s="1"/>
  <c r="BD1231" i="3" s="1"/>
  <c r="F1231" i="3"/>
  <c r="AW1230" i="3"/>
  <c r="BA1230" i="3" s="1"/>
  <c r="F1230" i="3"/>
  <c r="AW1227" i="3"/>
  <c r="BA1227" i="3" s="1"/>
  <c r="BD1227" i="3" s="1"/>
  <c r="F1227" i="3"/>
  <c r="AW1226" i="3"/>
  <c r="BA1226" i="3" s="1"/>
  <c r="BD1226" i="3" s="1"/>
  <c r="U1226" i="3"/>
  <c r="F1226" i="3"/>
  <c r="AW1225" i="3"/>
  <c r="BA1225" i="3" s="1"/>
  <c r="BD1225" i="3" s="1"/>
  <c r="F1225" i="3"/>
  <c r="AW1035" i="3"/>
  <c r="BA1035" i="3" s="1"/>
  <c r="F1035" i="3"/>
  <c r="AW1038" i="3"/>
  <c r="BA1038" i="3" s="1"/>
  <c r="F1038" i="3"/>
  <c r="AW1047" i="3"/>
  <c r="BA1047" i="3" s="1"/>
  <c r="F1047" i="3"/>
  <c r="AW1033" i="3"/>
  <c r="BA1033" i="3" s="1"/>
  <c r="F1033" i="3"/>
  <c r="AW1223" i="3"/>
  <c r="BA1223" i="3" s="1"/>
  <c r="U1223" i="3"/>
  <c r="AW1222" i="3"/>
  <c r="BA1222" i="3" s="1"/>
  <c r="U1222" i="3"/>
  <c r="AW1215" i="3"/>
  <c r="BA1215" i="3" s="1"/>
  <c r="AW1209" i="3"/>
  <c r="BA1209" i="3" s="1"/>
  <c r="AW1208" i="3"/>
  <c r="BA1208" i="3" s="1"/>
  <c r="BD1208" i="3" s="1"/>
  <c r="F1208" i="3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F1205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F1202" i="3"/>
  <c r="AW1056" i="3"/>
  <c r="BA1056" i="3" s="1"/>
  <c r="BD1056" i="3" s="1"/>
  <c r="F1056" i="3"/>
  <c r="AW1200" i="3"/>
  <c r="BA1200" i="3" s="1"/>
  <c r="BD1200" i="3" s="1"/>
  <c r="F1200" i="3"/>
  <c r="AW1052" i="3"/>
  <c r="BA1052" i="3" s="1"/>
  <c r="BD1052" i="3" s="1"/>
  <c r="F1052" i="3"/>
  <c r="AW1199" i="3"/>
  <c r="BA1199" i="3" s="1"/>
  <c r="BD1199" i="3" s="1"/>
  <c r="U1199" i="3"/>
  <c r="F1199" i="3"/>
  <c r="AW1196" i="3"/>
  <c r="BA1196" i="3" s="1"/>
  <c r="BD1196" i="3" s="1"/>
  <c r="F1196" i="3"/>
  <c r="AW1195" i="3"/>
  <c r="BA1195" i="3" s="1"/>
  <c r="BD1195" i="3" s="1"/>
  <c r="F1195" i="3"/>
  <c r="AW1194" i="3"/>
  <c r="BA1194" i="3" s="1"/>
  <c r="BD1194" i="3" s="1"/>
  <c r="F1194" i="3"/>
  <c r="AW1054" i="3"/>
  <c r="BA1054" i="3" s="1"/>
  <c r="BD1054" i="3" s="1"/>
  <c r="F1054" i="3"/>
  <c r="AW1191" i="3"/>
  <c r="BA1191" i="3" s="1"/>
  <c r="BD1191" i="3" s="1"/>
  <c r="U1191" i="3"/>
  <c r="F1191" i="3"/>
  <c r="AW1183" i="3"/>
  <c r="BA1183" i="3" s="1"/>
  <c r="BD1183" i="3" s="1"/>
  <c r="F1183" i="3"/>
  <c r="AW1185" i="3"/>
  <c r="BA1185" i="3" s="1"/>
  <c r="BD1185" i="3" s="1"/>
  <c r="U1185" i="3"/>
  <c r="F1185" i="3"/>
  <c r="AW1189" i="3"/>
  <c r="BA1189" i="3" s="1"/>
  <c r="BD1189" i="3" s="1"/>
  <c r="F1189" i="3"/>
  <c r="AW1188" i="3"/>
  <c r="BA1188" i="3" s="1"/>
  <c r="BD1188" i="3" s="1"/>
  <c r="F1188" i="3"/>
  <c r="AW1186" i="3"/>
  <c r="BA1186" i="3" s="1"/>
  <c r="BD1186" i="3" s="1"/>
  <c r="F1186" i="3"/>
  <c r="AW1184" i="3"/>
  <c r="BA1184" i="3" s="1"/>
  <c r="BD1184" i="3" s="1"/>
  <c r="F1184" i="3"/>
  <c r="AW1181" i="3"/>
  <c r="BA1181" i="3" s="1"/>
  <c r="BD1181" i="3" s="1"/>
  <c r="U1181" i="3"/>
  <c r="F1181" i="3"/>
  <c r="AW1180" i="3"/>
  <c r="BA1180" i="3" s="1"/>
  <c r="F1180" i="3"/>
  <c r="AW1179" i="3"/>
  <c r="BA1179" i="3" s="1"/>
  <c r="F1179" i="3"/>
  <c r="AW1177" i="3"/>
  <c r="BA1177" i="3" s="1"/>
  <c r="BD1177" i="3" s="1"/>
  <c r="F1177" i="3"/>
  <c r="AW1051" i="3"/>
  <c r="BA1051" i="3" s="1"/>
  <c r="BD1051" i="3" s="1"/>
  <c r="F1051" i="3"/>
  <c r="AW1055" i="3"/>
  <c r="BA1055" i="3" s="1"/>
  <c r="BD1055" i="3" s="1"/>
  <c r="F1055" i="3"/>
  <c r="AW1175" i="3"/>
  <c r="BA1175" i="3" s="1"/>
  <c r="BD1175" i="3" s="1"/>
  <c r="F1175" i="3"/>
  <c r="AW1057" i="3"/>
  <c r="BA1057" i="3" s="1"/>
  <c r="BD1057" i="3" s="1"/>
  <c r="F1057" i="3"/>
  <c r="AW1049" i="3"/>
  <c r="BA1049" i="3" s="1"/>
  <c r="BD1049" i="3" s="1"/>
  <c r="F1049" i="3"/>
  <c r="AW1048" i="3"/>
  <c r="BA1048" i="3" s="1"/>
  <c r="BD1048" i="3" s="1"/>
  <c r="F1048" i="3"/>
  <c r="AW1174" i="3"/>
  <c r="BA1174" i="3" s="1"/>
  <c r="U1174" i="3"/>
  <c r="F1174" i="3"/>
  <c r="AW1173" i="3"/>
  <c r="BA1173" i="3" s="1"/>
  <c r="U1173" i="3"/>
  <c r="F1173" i="3"/>
  <c r="AW1023" i="3"/>
  <c r="BA1023" i="3" s="1"/>
  <c r="F1023" i="3"/>
  <c r="AW1022" i="3"/>
  <c r="BA1022" i="3" s="1"/>
  <c r="F1022" i="3"/>
  <c r="AW1171" i="3"/>
  <c r="BA1171" i="3" s="1"/>
  <c r="F1171" i="3"/>
  <c r="AW1170" i="3"/>
  <c r="BA1170" i="3" s="1"/>
  <c r="U1170" i="3"/>
  <c r="F1170" i="3"/>
  <c r="AW1053" i="3"/>
  <c r="BA1053" i="3" s="1"/>
  <c r="F1053" i="3"/>
  <c r="AW1130" i="3"/>
  <c r="BA1130" i="3" s="1"/>
  <c r="F1130" i="3"/>
  <c r="AW1129" i="3"/>
  <c r="BA1129" i="3" s="1"/>
  <c r="U1129" i="3"/>
  <c r="AW1169" i="3"/>
  <c r="BA1169" i="3" s="1"/>
  <c r="BD1169" i="3" s="1"/>
  <c r="F1169" i="3"/>
  <c r="AW1168" i="3"/>
  <c r="BA1168" i="3" s="1"/>
  <c r="BD1168" i="3" s="1"/>
  <c r="U1168" i="3"/>
  <c r="F1168" i="3"/>
  <c r="AW1167" i="3"/>
  <c r="BA1167" i="3" s="1"/>
  <c r="BD1167" i="3" s="1"/>
  <c r="F1167" i="3"/>
  <c r="AW1165" i="3"/>
  <c r="BA1165" i="3" s="1"/>
  <c r="BD1165" i="3" s="1"/>
  <c r="F1165" i="3"/>
  <c r="AW1164" i="3"/>
  <c r="BA1164" i="3" s="1"/>
  <c r="BD1164" i="3" s="1"/>
  <c r="U1164" i="3"/>
  <c r="F1164" i="3"/>
  <c r="AW1050" i="3"/>
  <c r="BA1050" i="3" s="1"/>
  <c r="AW1163" i="3"/>
  <c r="BA1163" i="3" s="1"/>
  <c r="BD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U1154" i="3"/>
  <c r="F1154" i="3"/>
  <c r="AW1153" i="3"/>
  <c r="BA1153" i="3" s="1"/>
  <c r="U1153" i="3"/>
  <c r="F1153" i="3"/>
  <c r="AW1152" i="3"/>
  <c r="BA1152" i="3" s="1"/>
  <c r="F1152" i="3"/>
  <c r="AW1151" i="3"/>
  <c r="BA1151" i="3" s="1"/>
  <c r="AW1148" i="3"/>
  <c r="BA1148" i="3" s="1"/>
  <c r="F1148" i="3"/>
  <c r="AW1147" i="3"/>
  <c r="BA1147" i="3" s="1"/>
  <c r="F1147" i="3"/>
  <c r="AW1145" i="3"/>
  <c r="BA1145" i="3" s="1"/>
  <c r="F1145" i="3"/>
  <c r="AW1144" i="3"/>
  <c r="BA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F1135" i="3"/>
  <c r="AW1134" i="3"/>
  <c r="BA1134" i="3" s="1"/>
  <c r="U1134" i="3"/>
  <c r="F1134" i="3"/>
  <c r="AW1133" i="3"/>
  <c r="BA1133" i="3" s="1"/>
  <c r="F1133" i="3"/>
  <c r="AW1132" i="3"/>
  <c r="BA1132" i="3" s="1"/>
  <c r="F1132" i="3"/>
  <c r="AW1131" i="3"/>
  <c r="BA1131" i="3" s="1"/>
  <c r="BD1131" i="3" s="1"/>
  <c r="U1131" i="3"/>
  <c r="F1131" i="3"/>
  <c r="AW1046" i="3"/>
  <c r="BA1046" i="3" s="1"/>
  <c r="F1046" i="3"/>
  <c r="AW1126" i="3"/>
  <c r="BA1126" i="3" s="1"/>
  <c r="F1126" i="3"/>
  <c r="AW1125" i="3"/>
  <c r="BA1125" i="3" s="1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080" i="3"/>
  <c r="BA1080" i="3" s="1"/>
  <c r="F108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79" i="3"/>
  <c r="BA1079" i="3" s="1"/>
  <c r="F1079" i="3"/>
  <c r="AW1073" i="3"/>
  <c r="BA1073" i="3" s="1"/>
  <c r="F1073" i="3"/>
  <c r="AW1072" i="3"/>
  <c r="BA1072" i="3" s="1"/>
  <c r="F1072" i="3"/>
  <c r="AW1066" i="3"/>
  <c r="BA1066" i="3" s="1"/>
  <c r="F1066" i="3"/>
  <c r="AW1065" i="3"/>
  <c r="BA1065" i="3" s="1"/>
  <c r="F1065" i="3"/>
  <c r="AW1064" i="3"/>
  <c r="BA1064" i="3" s="1"/>
  <c r="F1064" i="3"/>
  <c r="AW1061" i="3"/>
  <c r="BA1061" i="3" s="1"/>
  <c r="F1061" i="3"/>
  <c r="AW1045" i="3"/>
  <c r="BA1045" i="3" s="1"/>
  <c r="F1045" i="3"/>
  <c r="AW1040" i="3"/>
  <c r="BA1040" i="3" s="1"/>
  <c r="F1040" i="3"/>
  <c r="AW1042" i="3"/>
  <c r="BA1042" i="3" s="1"/>
  <c r="F1042" i="3"/>
  <c r="AW1041" i="3"/>
  <c r="BA1041" i="3" s="1"/>
  <c r="F1041" i="3"/>
  <c r="AW1034" i="3"/>
  <c r="BA1034" i="3" s="1"/>
  <c r="F1034" i="3"/>
  <c r="AW1030" i="3"/>
  <c r="BA1030" i="3" s="1"/>
  <c r="F1030" i="3"/>
  <c r="AW1029" i="3"/>
  <c r="BA1029" i="3" s="1"/>
  <c r="U1029" i="3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3" i="3"/>
  <c r="BA993" i="3" s="1"/>
  <c r="F993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78" i="3"/>
  <c r="BA1078" i="3" s="1"/>
  <c r="F1078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20" i="3" a="1"/>
  <c r="AW1220" i="3" s="1"/>
  <c r="BA1220" i="3" s="1"/>
  <c r="AW1235" i="3" a="1"/>
  <c r="AW1235" i="3" s="1"/>
  <c r="BA1235" i="3" s="1"/>
  <c r="BD1235" i="3" s="1"/>
  <c r="BB1216" i="3"/>
  <c r="BD1216" i="3"/>
  <c r="BC1216" i="3"/>
  <c r="BD1214" i="3"/>
  <c r="BB1214" i="3"/>
  <c r="BC1214" i="3"/>
  <c r="S64" i="122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3" i="70"/>
  <c r="BA233" i="70"/>
  <c r="AZ233" i="70"/>
  <c r="BA236" i="70"/>
  <c r="BB236" i="70"/>
  <c r="AZ236" i="70"/>
  <c r="BB240" i="70"/>
  <c r="BA240" i="70"/>
  <c r="AZ240" i="70"/>
  <c r="BB243" i="70"/>
  <c r="BA243" i="70"/>
  <c r="AZ243" i="70"/>
  <c r="BB246" i="70"/>
  <c r="BA246" i="70"/>
  <c r="AZ246" i="70"/>
  <c r="BB277" i="70"/>
  <c r="BA277" i="70"/>
  <c r="AZ277" i="70"/>
  <c r="AZ280" i="70"/>
  <c r="BA280" i="70"/>
  <c r="BB28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1" i="70"/>
  <c r="BA231" i="70"/>
  <c r="BB231" i="70"/>
  <c r="AZ234" i="70"/>
  <c r="BA234" i="70"/>
  <c r="BB234" i="70"/>
  <c r="BA237" i="70"/>
  <c r="AZ237" i="70"/>
  <c r="BB237" i="70"/>
  <c r="BB241" i="70"/>
  <c r="BA241" i="70"/>
  <c r="AZ241" i="70"/>
  <c r="BA244" i="70"/>
  <c r="AZ244" i="70"/>
  <c r="BB244" i="70"/>
  <c r="BB275" i="70"/>
  <c r="BA275" i="70"/>
  <c r="AZ275" i="70"/>
  <c r="BA278" i="70"/>
  <c r="AZ278" i="70"/>
  <c r="BB278" i="70"/>
  <c r="AZ281" i="70"/>
  <c r="BB281" i="70"/>
  <c r="BA28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2" i="70"/>
  <c r="BB232" i="70"/>
  <c r="AZ232" i="70"/>
  <c r="BB235" i="70"/>
  <c r="AZ235" i="70"/>
  <c r="BA235" i="70"/>
  <c r="AZ238" i="70"/>
  <c r="BA238" i="70"/>
  <c r="BB238" i="70"/>
  <c r="BB242" i="70"/>
  <c r="BA242" i="70"/>
  <c r="AZ242" i="70"/>
  <c r="AZ245" i="70"/>
  <c r="BA245" i="70"/>
  <c r="BB245" i="70"/>
  <c r="BA276" i="70"/>
  <c r="BB276" i="70"/>
  <c r="AZ276" i="70"/>
  <c r="BA279" i="70"/>
  <c r="AZ279" i="70"/>
  <c r="BB279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26" i="3"/>
  <c r="BB1026" i="3"/>
  <c r="BC1026" i="3"/>
  <c r="BD1027" i="3"/>
  <c r="BC1027" i="3"/>
  <c r="BB1027" i="3"/>
  <c r="BC1028" i="3"/>
  <c r="BB1028" i="3"/>
  <c r="BD1028" i="3"/>
  <c r="X1029" i="3"/>
  <c r="W1029" i="3"/>
  <c r="V1029" i="3"/>
  <c r="BC1029" i="3"/>
  <c r="BD1029" i="3"/>
  <c r="BB1029" i="3"/>
  <c r="BC1030" i="3"/>
  <c r="BB1030" i="3"/>
  <c r="BD1030" i="3"/>
  <c r="BD1034" i="3"/>
  <c r="BC1034" i="3"/>
  <c r="BB1034" i="3"/>
  <c r="BD1041" i="3"/>
  <c r="BC1041" i="3"/>
  <c r="BB1041" i="3"/>
  <c r="BC1042" i="3"/>
  <c r="BD1042" i="3"/>
  <c r="BB1042" i="3"/>
  <c r="BD1040" i="3"/>
  <c r="BC1040" i="3"/>
  <c r="BB1040" i="3"/>
  <c r="BB1045" i="3"/>
  <c r="BD1045" i="3"/>
  <c r="BC1045" i="3"/>
  <c r="BD1061" i="3"/>
  <c r="BB1061" i="3"/>
  <c r="BC1061" i="3"/>
  <c r="BB1064" i="3"/>
  <c r="BC1064" i="3"/>
  <c r="BD1064" i="3"/>
  <c r="BC1065" i="3"/>
  <c r="BD1065" i="3"/>
  <c r="BB1065" i="3"/>
  <c r="BB1066" i="3"/>
  <c r="BD1066" i="3"/>
  <c r="BC1066" i="3"/>
  <c r="BC1072" i="3"/>
  <c r="BB1072" i="3"/>
  <c r="BD1072" i="3"/>
  <c r="BB1073" i="3"/>
  <c r="BD1073" i="3"/>
  <c r="BC1073" i="3"/>
  <c r="BD1079" i="3"/>
  <c r="BC1079" i="3"/>
  <c r="BB1079" i="3"/>
  <c r="W1081" i="3"/>
  <c r="V1081" i="3"/>
  <c r="X1081" i="3"/>
  <c r="BD1081" i="3"/>
  <c r="BB1081" i="3"/>
  <c r="BC1081" i="3"/>
  <c r="X1082" i="3"/>
  <c r="W1082" i="3"/>
  <c r="V1082" i="3"/>
  <c r="BD1082" i="3"/>
  <c r="BB1082" i="3"/>
  <c r="BC1082" i="3"/>
  <c r="X1083" i="3"/>
  <c r="V1083" i="3"/>
  <c r="W1083" i="3"/>
  <c r="BD1083" i="3"/>
  <c r="BB1083" i="3"/>
  <c r="BC1083" i="3"/>
  <c r="W1084" i="3"/>
  <c r="V1084" i="3"/>
  <c r="X1084" i="3"/>
  <c r="BD1084" i="3"/>
  <c r="BB1084" i="3"/>
  <c r="BC1084" i="3"/>
  <c r="V1085" i="3"/>
  <c r="W1085" i="3"/>
  <c r="X1085" i="3"/>
  <c r="BD1085" i="3"/>
  <c r="BB1085" i="3"/>
  <c r="BC1085" i="3"/>
  <c r="W1086" i="3"/>
  <c r="X1086" i="3"/>
  <c r="V1086" i="3"/>
  <c r="BD1086" i="3"/>
  <c r="BB1086" i="3"/>
  <c r="BC1086" i="3"/>
  <c r="W1087" i="3"/>
  <c r="X1087" i="3"/>
  <c r="V1087" i="3"/>
  <c r="BD1087" i="3"/>
  <c r="BC1087" i="3"/>
  <c r="BB1087" i="3"/>
  <c r="W1088" i="3"/>
  <c r="X1088" i="3"/>
  <c r="V1088" i="3"/>
  <c r="BD1088" i="3"/>
  <c r="BC1088" i="3"/>
  <c r="BB1088" i="3"/>
  <c r="X1089" i="3"/>
  <c r="V1089" i="3"/>
  <c r="W1089" i="3"/>
  <c r="BD1089" i="3"/>
  <c r="BC1089" i="3"/>
  <c r="BB1089" i="3"/>
  <c r="V1090" i="3"/>
  <c r="W1090" i="3"/>
  <c r="X1090" i="3"/>
  <c r="BD1090" i="3"/>
  <c r="BB1090" i="3"/>
  <c r="BC1090" i="3"/>
  <c r="X1091" i="3"/>
  <c r="V1091" i="3"/>
  <c r="W1091" i="3"/>
  <c r="BD1091" i="3"/>
  <c r="BB1091" i="3"/>
  <c r="BC1091" i="3"/>
  <c r="X1092" i="3"/>
  <c r="W1092" i="3"/>
  <c r="V1092" i="3"/>
  <c r="BD1092" i="3"/>
  <c r="BB1092" i="3"/>
  <c r="BC1092" i="3"/>
  <c r="V1093" i="3"/>
  <c r="W1093" i="3"/>
  <c r="X1093" i="3"/>
  <c r="BB1093" i="3"/>
  <c r="BC1093" i="3"/>
  <c r="BD1093" i="3"/>
  <c r="V1094" i="3"/>
  <c r="X1094" i="3"/>
  <c r="W1094" i="3"/>
  <c r="BC1094" i="3"/>
  <c r="BD1094" i="3"/>
  <c r="BB1094" i="3"/>
  <c r="V1095" i="3"/>
  <c r="X1095" i="3"/>
  <c r="W1095" i="3"/>
  <c r="BD1095" i="3"/>
  <c r="BB1095" i="3"/>
  <c r="BC1095" i="3"/>
  <c r="V1096" i="3"/>
  <c r="W1096" i="3"/>
  <c r="X1096" i="3"/>
  <c r="BC1096" i="3"/>
  <c r="BB1096" i="3"/>
  <c r="BD1096" i="3"/>
  <c r="X1097" i="3"/>
  <c r="W1097" i="3"/>
  <c r="V1097" i="3"/>
  <c r="BB1097" i="3"/>
  <c r="BD1097" i="3"/>
  <c r="BC1097" i="3"/>
  <c r="W1098" i="3"/>
  <c r="V1098" i="3"/>
  <c r="X1098" i="3"/>
  <c r="BD1098" i="3"/>
  <c r="BB1098" i="3"/>
  <c r="BC1098" i="3"/>
  <c r="W1099" i="3"/>
  <c r="V1099" i="3"/>
  <c r="X1099" i="3"/>
  <c r="BB1099" i="3"/>
  <c r="BC1099" i="3"/>
  <c r="BD1099" i="3"/>
  <c r="W1100" i="3"/>
  <c r="V1100" i="3"/>
  <c r="X1100" i="3"/>
  <c r="BB1100" i="3"/>
  <c r="BC1100" i="3"/>
  <c r="BD1100" i="3"/>
  <c r="V1101" i="3"/>
  <c r="X1101" i="3"/>
  <c r="W1101" i="3"/>
  <c r="BB1101" i="3"/>
  <c r="BD1101" i="3"/>
  <c r="BC1101" i="3"/>
  <c r="X1102" i="3"/>
  <c r="W1102" i="3"/>
  <c r="V1102" i="3"/>
  <c r="BD1102" i="3"/>
  <c r="BB1102" i="3"/>
  <c r="BC1102" i="3"/>
  <c r="X1103" i="3"/>
  <c r="W1103" i="3"/>
  <c r="V1103" i="3"/>
  <c r="BD1103" i="3"/>
  <c r="BC1103" i="3"/>
  <c r="BB1103" i="3"/>
  <c r="X1104" i="3"/>
  <c r="W1104" i="3"/>
  <c r="V1104" i="3"/>
  <c r="BD1104" i="3"/>
  <c r="BB1104" i="3"/>
  <c r="BC1104" i="3"/>
  <c r="V1105" i="3"/>
  <c r="X1105" i="3"/>
  <c r="W1105" i="3"/>
  <c r="BB1105" i="3"/>
  <c r="BD1105" i="3"/>
  <c r="BC1105" i="3"/>
  <c r="V1106" i="3"/>
  <c r="W1106" i="3"/>
  <c r="X1106" i="3"/>
  <c r="BB1106" i="3"/>
  <c r="BC1106" i="3"/>
  <c r="BD1106" i="3"/>
  <c r="W1107" i="3"/>
  <c r="V1107" i="3"/>
  <c r="X1107" i="3"/>
  <c r="BD1107" i="3"/>
  <c r="BB1107" i="3"/>
  <c r="BC1107" i="3"/>
  <c r="X1108" i="3"/>
  <c r="W1108" i="3"/>
  <c r="V1108" i="3"/>
  <c r="BD1108" i="3"/>
  <c r="BC1108" i="3"/>
  <c r="BB1108" i="3"/>
  <c r="X1109" i="3"/>
  <c r="V1109" i="3"/>
  <c r="W1109" i="3"/>
  <c r="BD1109" i="3"/>
  <c r="BB1109" i="3"/>
  <c r="BC1109" i="3"/>
  <c r="X1110" i="3"/>
  <c r="V1110" i="3"/>
  <c r="W1110" i="3"/>
  <c r="BD1110" i="3"/>
  <c r="BB1110" i="3"/>
  <c r="BC1110" i="3"/>
  <c r="V1111" i="3"/>
  <c r="X1111" i="3"/>
  <c r="W1111" i="3"/>
  <c r="BB1111" i="3"/>
  <c r="BD1111" i="3"/>
  <c r="BC1111" i="3"/>
  <c r="V1112" i="3"/>
  <c r="W1112" i="3"/>
  <c r="X1112" i="3"/>
  <c r="BC1112" i="3"/>
  <c r="BB1112" i="3"/>
  <c r="BD1112" i="3"/>
  <c r="W1113" i="3"/>
  <c r="X1113" i="3"/>
  <c r="V1113" i="3"/>
  <c r="BC1113" i="3"/>
  <c r="BB1113" i="3"/>
  <c r="BD1113" i="3"/>
  <c r="V1114" i="3"/>
  <c r="X1114" i="3"/>
  <c r="W1114" i="3"/>
  <c r="BC1114" i="3"/>
  <c r="BD1114" i="3"/>
  <c r="BB1114" i="3"/>
  <c r="V1115" i="3"/>
  <c r="X1115" i="3"/>
  <c r="W1115" i="3"/>
  <c r="BC1115" i="3"/>
  <c r="BD1115" i="3"/>
  <c r="BB1115" i="3"/>
  <c r="X1116" i="3"/>
  <c r="V1116" i="3"/>
  <c r="W1116" i="3"/>
  <c r="BD1116" i="3"/>
  <c r="BB1116" i="3"/>
  <c r="BC1116" i="3"/>
  <c r="X1117" i="3"/>
  <c r="V1117" i="3"/>
  <c r="W1117" i="3"/>
  <c r="BD1117" i="3"/>
  <c r="BB1117" i="3"/>
  <c r="BC1117" i="3"/>
  <c r="W1118" i="3"/>
  <c r="V1118" i="3"/>
  <c r="X1118" i="3"/>
  <c r="BD1118" i="3"/>
  <c r="BC1118" i="3"/>
  <c r="BB1118" i="3"/>
  <c r="W1119" i="3"/>
  <c r="V1119" i="3"/>
  <c r="X1119" i="3"/>
  <c r="BD1119" i="3"/>
  <c r="BC1119" i="3"/>
  <c r="BB1119" i="3"/>
  <c r="BC1080" i="3"/>
  <c r="BB1080" i="3"/>
  <c r="BD1080" i="3"/>
  <c r="BD1120" i="3"/>
  <c r="BB1120" i="3"/>
  <c r="BC1120" i="3"/>
  <c r="BD1121" i="3"/>
  <c r="BB1121" i="3"/>
  <c r="BC1121" i="3"/>
  <c r="V1122" i="3"/>
  <c r="W1122" i="3"/>
  <c r="X1122" i="3"/>
  <c r="BC1122" i="3"/>
  <c r="BD1122" i="3"/>
  <c r="BB1122" i="3"/>
  <c r="V1123" i="3"/>
  <c r="X1123" i="3"/>
  <c r="W1123" i="3"/>
  <c r="BC1123" i="3"/>
  <c r="BD1123" i="3"/>
  <c r="BB1123" i="3"/>
  <c r="X1124" i="3"/>
  <c r="W1124" i="3"/>
  <c r="V1124" i="3"/>
  <c r="BD1124" i="3"/>
  <c r="BC1124" i="3"/>
  <c r="BB1124" i="3"/>
  <c r="BD1125" i="3"/>
  <c r="BB1125" i="3"/>
  <c r="BC1125" i="3"/>
  <c r="BB1046" i="3"/>
  <c r="BC1046" i="3"/>
  <c r="BD1046" i="3"/>
  <c r="W1131" i="3"/>
  <c r="X1131" i="3"/>
  <c r="V1131" i="3"/>
  <c r="BD1132" i="3"/>
  <c r="BB1132" i="3"/>
  <c r="BC1132" i="3"/>
  <c r="BC1133" i="3"/>
  <c r="BD1133" i="3"/>
  <c r="BB1133" i="3"/>
  <c r="V1134" i="3"/>
  <c r="X1134" i="3"/>
  <c r="W1134" i="3"/>
  <c r="BC1134" i="3"/>
  <c r="BD1134" i="3"/>
  <c r="BB1134" i="3"/>
  <c r="BC1135" i="3"/>
  <c r="BD1135" i="3"/>
  <c r="BB1135" i="3"/>
  <c r="X1136" i="3"/>
  <c r="V1136" i="3"/>
  <c r="W1136" i="3"/>
  <c r="BC1136" i="3"/>
  <c r="BD1136" i="3"/>
  <c r="BB1136" i="3"/>
  <c r="W1137" i="3"/>
  <c r="V1137" i="3"/>
  <c r="X1137" i="3"/>
  <c r="BD1137" i="3"/>
  <c r="BB1137" i="3"/>
  <c r="BC1137" i="3"/>
  <c r="W1138" i="3"/>
  <c r="X1138" i="3"/>
  <c r="V1138" i="3"/>
  <c r="BC1138" i="3"/>
  <c r="BB1138" i="3"/>
  <c r="BD1138" i="3"/>
  <c r="W1139" i="3"/>
  <c r="X1139" i="3"/>
  <c r="V1139" i="3"/>
  <c r="BD1139" i="3"/>
  <c r="BB1139" i="3"/>
  <c r="BC1139" i="3"/>
  <c r="X1140" i="3"/>
  <c r="W1140" i="3"/>
  <c r="V1140" i="3"/>
  <c r="BC1140" i="3"/>
  <c r="BB1140" i="3"/>
  <c r="BD1140" i="3"/>
  <c r="V1141" i="3"/>
  <c r="W1141" i="3"/>
  <c r="X1141" i="3"/>
  <c r="BC1141" i="3"/>
  <c r="BB1141" i="3"/>
  <c r="BD1141" i="3"/>
  <c r="V1142" i="3"/>
  <c r="X1142" i="3"/>
  <c r="W1142" i="3"/>
  <c r="BD1142" i="3"/>
  <c r="BC1142" i="3"/>
  <c r="BB1142" i="3"/>
  <c r="X1143" i="3"/>
  <c r="V1143" i="3"/>
  <c r="W1143" i="3"/>
  <c r="BB1143" i="3"/>
  <c r="BC1143" i="3"/>
  <c r="BD1143" i="3"/>
  <c r="W1144" i="3"/>
  <c r="X1144" i="3"/>
  <c r="V1144" i="3"/>
  <c r="BD1144" i="3"/>
  <c r="BC1144" i="3"/>
  <c r="BB1144" i="3"/>
  <c r="BB1145" i="3"/>
  <c r="BC1145" i="3"/>
  <c r="BD1145" i="3"/>
  <c r="BD1147" i="3"/>
  <c r="BC1147" i="3"/>
  <c r="BB1147" i="3"/>
  <c r="BB1148" i="3"/>
  <c r="BD1148" i="3"/>
  <c r="BC1148" i="3"/>
  <c r="BC1151" i="3"/>
  <c r="BD1151" i="3"/>
  <c r="BB1151" i="3"/>
  <c r="BD1152" i="3"/>
  <c r="BC1152" i="3"/>
  <c r="BB1152" i="3"/>
  <c r="W1153" i="3"/>
  <c r="X1153" i="3"/>
  <c r="V1153" i="3"/>
  <c r="BD1153" i="3"/>
  <c r="BB1153" i="3"/>
  <c r="BC1153" i="3"/>
  <c r="X1154" i="3"/>
  <c r="V1154" i="3"/>
  <c r="W1154" i="3"/>
  <c r="BD1154" i="3"/>
  <c r="BB1154" i="3"/>
  <c r="BC1154" i="3"/>
  <c r="V1155" i="3"/>
  <c r="X1155" i="3"/>
  <c r="W1155" i="3"/>
  <c r="BD1155" i="3"/>
  <c r="BB1155" i="3"/>
  <c r="BC1155" i="3"/>
  <c r="X1156" i="3"/>
  <c r="W1156" i="3"/>
  <c r="V1156" i="3"/>
  <c r="BD1156" i="3"/>
  <c r="BC1156" i="3"/>
  <c r="BB1156" i="3"/>
  <c r="V1157" i="3"/>
  <c r="W1157" i="3"/>
  <c r="X1157" i="3"/>
  <c r="BD1157" i="3"/>
  <c r="BB1157" i="3"/>
  <c r="BC1157" i="3"/>
  <c r="X1158" i="3"/>
  <c r="W1158" i="3"/>
  <c r="V1158" i="3"/>
  <c r="BD1158" i="3"/>
  <c r="BB1158" i="3"/>
  <c r="BC1158" i="3"/>
  <c r="V1159" i="3"/>
  <c r="W1159" i="3"/>
  <c r="X1159" i="3"/>
  <c r="BD1159" i="3"/>
  <c r="BC1159" i="3"/>
  <c r="BB1159" i="3"/>
  <c r="W1160" i="3"/>
  <c r="X1160" i="3"/>
  <c r="V1160" i="3"/>
  <c r="BD1160" i="3"/>
  <c r="BB1160" i="3"/>
  <c r="BC1160" i="3"/>
  <c r="X1161" i="3"/>
  <c r="W1161" i="3"/>
  <c r="V1161" i="3"/>
  <c r="BD1161" i="3"/>
  <c r="BC1161" i="3"/>
  <c r="BB1161" i="3"/>
  <c r="X1162" i="3"/>
  <c r="W1162" i="3"/>
  <c r="V1162" i="3"/>
  <c r="BD1162" i="3"/>
  <c r="BB1162" i="3"/>
  <c r="BC1162" i="3"/>
  <c r="W1163" i="3"/>
  <c r="V1163" i="3"/>
  <c r="X1163" i="3"/>
  <c r="V1164" i="3"/>
  <c r="X1164" i="3"/>
  <c r="W1164" i="3"/>
  <c r="V1168" i="3"/>
  <c r="X1168" i="3"/>
  <c r="W1168" i="3"/>
  <c r="V1129" i="3"/>
  <c r="X1129" i="3"/>
  <c r="W1129" i="3"/>
  <c r="BD1129" i="3"/>
  <c r="BB1129" i="3"/>
  <c r="BC1129" i="3"/>
  <c r="BC1130" i="3"/>
  <c r="BB1130" i="3"/>
  <c r="BD1130" i="3"/>
  <c r="BB1053" i="3"/>
  <c r="BC1053" i="3"/>
  <c r="BD1053" i="3"/>
  <c r="W1170" i="3"/>
  <c r="X1170" i="3"/>
  <c r="V1170" i="3"/>
  <c r="BC1170" i="3"/>
  <c r="BB1170" i="3"/>
  <c r="BD1170" i="3"/>
  <c r="BC1171" i="3"/>
  <c r="BD1171" i="3"/>
  <c r="BB1171" i="3"/>
  <c r="BC1022" i="3"/>
  <c r="BB1022" i="3"/>
  <c r="BD1022" i="3"/>
  <c r="BD1023" i="3"/>
  <c r="BB1023" i="3"/>
  <c r="BC1023" i="3"/>
  <c r="X1173" i="3"/>
  <c r="W1173" i="3"/>
  <c r="V1173" i="3"/>
  <c r="BD1173" i="3"/>
  <c r="BC1173" i="3"/>
  <c r="BB1173" i="3"/>
  <c r="X1174" i="3"/>
  <c r="W1174" i="3"/>
  <c r="V1174" i="3"/>
  <c r="BD1174" i="3"/>
  <c r="BC1174" i="3"/>
  <c r="BB1174" i="3"/>
  <c r="V1175" i="3"/>
  <c r="X1175" i="3"/>
  <c r="W1175" i="3"/>
  <c r="X1179" i="3"/>
  <c r="W1179" i="3"/>
  <c r="V1179" i="3"/>
  <c r="BD1179" i="3"/>
  <c r="BC1179" i="3"/>
  <c r="BB1179" i="3"/>
  <c r="BC1180" i="3"/>
  <c r="BD1180" i="3"/>
  <c r="BB1180" i="3"/>
  <c r="V1181" i="3"/>
  <c r="W1181" i="3"/>
  <c r="X1181" i="3"/>
  <c r="V1185" i="3"/>
  <c r="X1185" i="3"/>
  <c r="W1185" i="3"/>
  <c r="V1191" i="3"/>
  <c r="X1191" i="3"/>
  <c r="W1191" i="3"/>
  <c r="X1199" i="3"/>
  <c r="W1199" i="3"/>
  <c r="V1199" i="3"/>
  <c r="BD1209" i="3"/>
  <c r="BB1209" i="3"/>
  <c r="BC1209" i="3"/>
  <c r="BD1215" i="3"/>
  <c r="BC1215" i="3"/>
  <c r="BB1215" i="3"/>
  <c r="V1222" i="3"/>
  <c r="W1222" i="3"/>
  <c r="X1222" i="3"/>
  <c r="BC1222" i="3"/>
  <c r="BD1222" i="3"/>
  <c r="BB1222" i="3"/>
  <c r="V1223" i="3"/>
  <c r="X1223" i="3"/>
  <c r="W1223" i="3"/>
  <c r="BC1223" i="3"/>
  <c r="BD1223" i="3"/>
  <c r="BB1223" i="3"/>
  <c r="X1226" i="3"/>
  <c r="U1225" i="3" a="1"/>
  <c r="V1226" i="3"/>
  <c r="W1226" i="3"/>
  <c r="X1231" i="3"/>
  <c r="W1231" i="3"/>
  <c r="V1231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78" i="3"/>
  <c r="BD1078" i="3"/>
  <c r="BC1078" i="3"/>
  <c r="BD1000" i="3"/>
  <c r="BC1000" i="3"/>
  <c r="BB1000" i="3"/>
  <c r="BC1019" i="3"/>
  <c r="BD1019" i="3"/>
  <c r="BB1019" i="3"/>
  <c r="BD1020" i="3"/>
  <c r="BB1020" i="3"/>
  <c r="BC1020" i="3"/>
  <c r="BB1021" i="3"/>
  <c r="BD1021" i="3"/>
  <c r="BC1021" i="3"/>
  <c r="BD993" i="3"/>
  <c r="BC993" i="3"/>
  <c r="BB993" i="3"/>
  <c r="BD1126" i="3"/>
  <c r="BB1126" i="3"/>
  <c r="BC1126" i="3"/>
  <c r="BD1050" i="3"/>
  <c r="BC1050" i="3"/>
  <c r="BB1050" i="3"/>
  <c r="BD1033" i="3"/>
  <c r="BC1033" i="3"/>
  <c r="BB1033" i="3"/>
  <c r="BC1047" i="3"/>
  <c r="BB1047" i="3"/>
  <c r="BD1047" i="3"/>
  <c r="BB1038" i="3"/>
  <c r="BC1038" i="3"/>
  <c r="BD1038" i="3"/>
  <c r="BC1035" i="3"/>
  <c r="BD1035" i="3"/>
  <c r="BB1035" i="3"/>
  <c r="BD1230" i="3"/>
  <c r="BB1230" i="3"/>
  <c r="BC1230" i="3"/>
  <c r="BD1220" i="3" l="1"/>
  <c r="BB1220" i="3"/>
  <c r="BC1220" i="3"/>
  <c r="C49" i="47"/>
  <c r="AW1219" i="3" a="1"/>
  <c r="AW1219" i="3" s="1"/>
  <c r="BA1219" i="3" s="1"/>
  <c r="S66" i="122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25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19" i="3" l="1"/>
  <c r="BC1219" i="3"/>
  <c r="BD1219" i="3"/>
  <c r="C50" i="47"/>
  <c r="C51" i="47" s="1"/>
  <c r="C52" i="47" s="1"/>
  <c r="C53" i="47" s="1"/>
  <c r="C54" i="47" s="1"/>
  <c r="AW1236" i="3" a="1"/>
  <c r="AW1236" i="3" s="1"/>
  <c r="BA1236" i="3" s="1"/>
  <c r="BD1236" i="3" s="1"/>
  <c r="AW1221" i="3" a="1"/>
  <c r="AW1221" i="3" s="1"/>
  <c r="BA1221" i="3" s="1"/>
  <c r="T92" i="122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25" i="3"/>
  <c r="V1225" i="3"/>
  <c r="X1225" i="3"/>
  <c r="BB1221" i="3" l="1"/>
  <c r="BC1221" i="3"/>
  <c r="BD1221" i="3"/>
  <c r="AA92" i="122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58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59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0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1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2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3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4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5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6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7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8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9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tc={0A4981E9-6B54-4469-A5D7-8160B7B1D327}</author>
    <author>TCL</author>
    <author>tc={ADACFBB9-178D-46C7-AA59-77077C0F3A9F}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6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7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9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9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1027" authorId="22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6" authorId="222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0" authorId="222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3" authorId="223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P1079" authorId="224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0" authorId="225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84" authorId="22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19" authorId="227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0" authorId="228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1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2" authorId="23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32" authorId="231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3" authorId="232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4" authorId="233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5" authorId="234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47" authorId="235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48" authorId="222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57" authorId="236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58" authorId="237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R277" authorId="54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<sst xmlns="http://schemas.openxmlformats.org/spreadsheetml/2006/main" count="99826" uniqueCount="10300">
  <si>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</si>
  <si>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</si>
  <si>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</si>
  <si>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</si>
  <si>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</si>
  <si>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</si>
  <si>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</si>
  <si>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</si>
  <si>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</si>
  <si>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</si>
  <si>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</si>
  <si>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</si>
  <si>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</si>
  <si>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</si>
  <si>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</si>
  <si>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</si>
  <si>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</si>
  <si>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</si>
  <si>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</si>
  <si>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</si>
  <si>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</si>
  <si>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</si>
  <si>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</si>
  <si>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</si>
  <si>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</si>
  <si>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</si>
  <si>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</si>
  <si>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</si>
  <si>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</si>
  <si>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</si>
  <si>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</si>
  <si>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</si>
  <si>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</si>
  <si>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</si>
  <si>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</si>
  <si>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</si>
  <si>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</si>
  <si>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</si>
  <si>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</si>
  <si>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</si>
  <si>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</si>
  <si>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</si>
  <si>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</si>
  <si>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</si>
  <si>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</si>
  <si>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</si>
  <si>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</si>
  <si>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</si>
  <si>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</si>
  <si>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</si>
  <si>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</si>
  <si>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</si>
  <si>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</si>
  <si>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</si>
  <si>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</si>
  <si>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</si>
  <si>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</si>
  <si>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</si>
  <si>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</si>
  <si>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</si>
  <si>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</si>
  <si>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</si>
  <si>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</si>
  <si>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</si>
  <si>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</si>
  <si>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</si>
  <si>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</si>
  <si>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</si>
  <si>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</si>
  <si>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</si>
  <si>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</si>
  <si>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</si>
  <si>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</si>
  <si>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</si>
  <si>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</si>
  <si>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</si>
  <si>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</si>
  <si>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</si>
  <si>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</si>
  <si>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</si>
  <si>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</si>
  <si>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</si>
  <si>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</si>
  <si>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</si>
  <si>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</si>
  <si>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</si>
  <si>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</si>
  <si>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</si>
  <si>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</si>
  <si>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</si>
  <si>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</si>
  <si>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</si>
  <si>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</si>
  <si>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</si>
  <si>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</si>
  <si>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</si>
  <si>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</si>
  <si>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</si>
  <si>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</si>
  <si>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</si>
  <si>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</si>
  <si>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</si>
  <si>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</si>
  <si>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</si>
  <si>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</si>
  <si>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</si>
  <si>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</si>
  <si>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</si>
  <si>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</si>
  <si>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</si>
  <si>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</si>
  <si>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</si>
  <si>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</si>
  <si>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</si>
  <si>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</si>
  <si>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</si>
  <si>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</si>
  <si>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</si>
  <si>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</si>
  <si>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</si>
  <si>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</si>
  <si>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</si>
  <si>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</si>
  <si>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</si>
  <si>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</si>
  <si>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</si>
  <si>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</si>
  <si>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</si>
  <si>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</si>
  <si>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</si>
  <si>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</si>
  <si>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</si>
  <si>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</si>
  <si>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</si>
  <si>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</si>
  <si>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</si>
  <si>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</si>
  <si>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</si>
  <si>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</si>
  <si>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</si>
  <si>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</si>
  <si>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</si>
  <si>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</si>
  <si>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</si>
  <si>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</si>
  <si>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</si>
  <si>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</si>
  <si>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</si>
  <si>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</si>
  <si>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</si>
  <si>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</si>
  <si>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</si>
  <si>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</si>
  <si>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</si>
  <si>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</si>
  <si>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</si>
  <si>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</si>
  <si>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</si>
  <si>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</si>
  <si>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</si>
  <si>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</si>
  <si>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</si>
  <si>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</si>
  <si>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</si>
  <si>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</si>
  <si>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</si>
  <si>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</si>
  <si>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</si>
  <si>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</si>
  <si>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</si>
  <si>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</si>
  <si>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</si>
  <si>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</si>
  <si>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</si>
  <si>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</si>
  <si>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</si>
  <si>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</si>
  <si>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</si>
  <si>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</si>
  <si>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</si>
  <si>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</si>
  <si>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</si>
  <si>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</si>
  <si>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</si>
  <si>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</si>
  <si>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</si>
  <si>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</si>
  <si>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</si>
  <si>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</si>
  <si>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</si>
  <si>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</si>
  <si>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</si>
  <si>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</si>
  <si>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</si>
  <si>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</si>
  <si>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</si>
  <si>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</si>
  <si>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</si>
  <si>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</si>
  <si>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</si>
  <si>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</si>
  <si>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</si>
  <si>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</si>
  <si>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</si>
  <si>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</si>
  <si>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</si>
  <si>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</si>
  <si>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</si>
  <si>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</si>
  <si>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</si>
  <si>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</si>
  <si>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</si>
  <si>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</si>
  <si>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</si>
  <si>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</si>
  <si>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</si>
  <si>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</si>
  <si>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</si>
  <si>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</si>
  <si>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</si>
  <si>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</si>
  <si>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</si>
  <si>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</si>
  <si>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</si>
  <si>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</si>
  <si>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</si>
  <si>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</si>
  <si>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</si>
  <si>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</si>
  <si>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</si>
  <si>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</si>
  <si>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</si>
  <si>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</si>
  <si>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</si>
  <si>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</si>
  <si>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</si>
  <si>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</si>
  <si>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</si>
  <si>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</si>
  <si>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</si>
  <si>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</si>
  <si>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</si>
  <si>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</si>
  <si>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</si>
  <si>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</si>
  <si>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</si>
  <si>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</si>
  <si>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</si>
  <si>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</si>
  <si>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</si>
  <si>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</si>
  <si>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</si>
  <si>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</si>
  <si>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</si>
  <si>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</si>
  <si>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</si>
  <si>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</si>
  <si>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</si>
  <si>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</si>
  <si>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</si>
  <si>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</si>
  <si>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</si>
  <si>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</si>
  <si>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</si>
  <si>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</si>
  <si>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</si>
  <si>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</si>
  <si>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</si>
  <si>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</si>
  <si>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</si>
  <si>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</si>
  <si>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</si>
  <si>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</si>
  <si>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</si>
  <si>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</si>
  <si>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</si>
  <si>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</si>
  <si>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</si>
  <si>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</si>
  <si>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</si>
  <si>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</si>
  <si>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</si>
  <si>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</si>
  <si>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</si>
  <si>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</si>
  <si>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</si>
  <si>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</si>
  <si>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</si>
  <si>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</si>
  <si>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</si>
  <si>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</si>
  <si>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</si>
  <si>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</si>
  <si>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</si>
  <si>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</si>
  <si>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</si>
  <si>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</si>
  <si>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</si>
  <si>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</si>
  <si>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</si>
  <si>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</si>
  <si>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</si>
  <si>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</si>
  <si>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</si>
  <si>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</si>
  <si>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</si>
  <si>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</si>
  <si>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</si>
  <si>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</si>
  <si>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</si>
  <si>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</si>
  <si>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</si>
  <si>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</si>
  <si>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</si>
  <si>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</si>
  <si>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</si>
  <si>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</si>
  <si>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</si>
  <si>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</si>
  <si>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</si>
  <si>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</si>
  <si>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</si>
  <si>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</si>
  <si>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</si>
  <si>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</si>
  <si>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</si>
  <si>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</si>
  <si>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</si>
  <si>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</si>
  <si>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</si>
  <si>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</si>
  <si>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</si>
  <si>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</si>
  <si>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</si>
  <si>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</si>
  <si>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</si>
  <si>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</si>
  <si>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</si>
  <si>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</si>
  <si>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</si>
  <si>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</si>
  <si>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</si>
  <si>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</si>
  <si>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</si>
  <si>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</si>
  <si>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</si>
  <si>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</si>
  <si>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</si>
  <si>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</si>
  <si>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</si>
  <si>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</si>
  <si>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</si>
  <si>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</si>
  <si>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</si>
  <si>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</si>
  <si>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</si>
  <si>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</si>
  <si>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</si>
  <si>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</si>
  <si>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</si>
  <si>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</si>
  <si>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</si>
  <si>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</si>
  <si>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</si>
  <si>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</si>
  <si>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</si>
  <si>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</si>
  <si>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</si>
  <si>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</si>
  <si>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</si>
  <si>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</si>
  <si>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</si>
  <si>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</si>
  <si>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</si>
  <si>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</si>
  <si>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</si>
  <si>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</si>
  <si>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</si>
  <si>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</si>
  <si>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</si>
  <si>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</si>
  <si>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</si>
  <si>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</si>
  <si>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</si>
  <si>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</si>
  <si>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</si>
  <si>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</si>
  <si>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</si>
  <si>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</si>
  <si>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</si>
  <si>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</si>
  <si>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</si>
  <si>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</si>
  <si>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</si>
  <si>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</si>
  <si>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</si>
  <si>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</si>
  <si>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</si>
  <si>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</si>
  <si>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</si>
  <si>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</si>
  <si>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</si>
  <si>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</si>
  <si>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</si>
  <si>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</si>
  <si>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</si>
  <si>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</si>
  <si>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</si>
  <si>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</si>
  <si>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</si>
  <si>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</si>
  <si>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</si>
  <si>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</si>
  <si>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</si>
  <si>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</si>
  <si>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</si>
  <si>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</si>
  <si>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</si>
  <si>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</si>
  <si>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</si>
  <si>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</si>
  <si>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</si>
  <si>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</si>
  <si>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</si>
  <si>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</si>
  <si>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</si>
  <si>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</si>
  <si>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</si>
  <si>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</si>
  <si>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</si>
  <si>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</si>
  <si>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</si>
  <si>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</si>
  <si>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</si>
  <si>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</si>
  <si>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</si>
  <si>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</si>
  <si>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</si>
  <si>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</si>
  <si>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</si>
  <si>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</si>
  <si>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</si>
  <si>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</si>
  <si>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</si>
  <si>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</si>
  <si>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</si>
  <si>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</si>
  <si>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</si>
  <si>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</si>
  <si>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</si>
  <si>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</si>
  <si>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</si>
  <si>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</si>
  <si>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</si>
  <si>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</si>
  <si>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</si>
  <si>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</si>
  <si>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</si>
  <si>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</si>
  <si>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</si>
  <si>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</si>
  <si>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</si>
  <si>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</si>
  <si>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</si>
  <si>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</si>
  <si>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</si>
  <si>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</si>
  <si>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</si>
  <si>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</si>
  <si>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</si>
  <si>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</si>
  <si>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</si>
  <si>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</si>
  <si>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</si>
  <si>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</si>
  <si>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</si>
  <si>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</si>
  <si>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</si>
  <si>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</si>
  <si>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</si>
  <si>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</si>
  <si>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</si>
  <si>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</si>
  <si>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</si>
  <si>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</si>
  <si>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</si>
  <si>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</si>
  <si>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</si>
  <si>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</si>
  <si>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</si>
  <si>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</si>
  <si>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</si>
  <si>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</si>
  <si>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</si>
  <si>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</si>
  <si>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</si>
  <si>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</si>
  <si>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</si>
  <si>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</si>
  <si>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</si>
  <si>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</si>
  <si>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</si>
  <si>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</si>
  <si>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</si>
  <si>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</si>
  <si>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</si>
  <si>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</si>
  <si>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</si>
  <si>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</si>
  <si>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</si>
  <si>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</si>
  <si>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</si>
  <si>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</si>
  <si>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</si>
  <si>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</si>
  <si>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</si>
  <si>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</si>
  <si>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</si>
  <si>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</si>
  <si>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</si>
  <si>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</si>
  <si>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</si>
  <si>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</si>
  <si>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</si>
  <si>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</si>
  <si>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</si>
  <si>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</si>
  <si>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</si>
  <si>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</si>
  <si>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</si>
  <si>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</si>
  <si>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</si>
  <si>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</si>
  <si>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</si>
  <si>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</si>
  <si>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</si>
  <si>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</si>
  <si>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</si>
  <si>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</si>
  <si>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</si>
  <si>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</si>
  <si>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</si>
  <si>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</si>
  <si>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</si>
  <si>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</si>
  <si>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</si>
  <si>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</si>
  <si>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</si>
  <si>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</si>
  <si>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</si>
  <si>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</si>
  <si>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</si>
  <si>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</si>
  <si>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</si>
  <si>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</si>
  <si>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</si>
  <si>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</si>
  <si>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</si>
  <si>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</si>
  <si>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</si>
  <si>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</si>
  <si>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</si>
  <si>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</si>
  <si>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</si>
  <si>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</si>
  <si>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</si>
  <si>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</si>
  <si>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</si>
  <si>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</si>
  <si>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</si>
  <si>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</si>
  <si>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</si>
  <si>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</si>
  <si>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</si>
  <si>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</si>
  <si>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</si>
  <si>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</si>
  <si>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</si>
  <si>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</si>
  <si>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</si>
  <si>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</si>
  <si>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</si>
  <si>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</si>
  <si>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</si>
  <si>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</si>
  <si>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</si>
  <si>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</si>
  <si>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</si>
  <si>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</si>
  <si>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</si>
  <si>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</si>
  <si>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</si>
  <si>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</si>
  <si>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</si>
  <si>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</si>
  <si>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</si>
  <si>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</si>
  <si>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</si>
  <si>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</si>
  <si>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</si>
  <si>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</si>
  <si>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</si>
  <si>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</si>
  <si>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</si>
  <si>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</si>
  <si>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</si>
  <si>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</si>
  <si>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</si>
  <si>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</si>
  <si>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</si>
  <si>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</si>
  <si>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</si>
  <si>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</si>
  <si>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</si>
  <si>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</si>
  <si>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</si>
  <si>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</si>
  <si>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</si>
  <si>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</si>
  <si>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</si>
  <si>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</si>
  <si>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</si>
  <si>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</si>
  <si>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</si>
  <si>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</si>
  <si>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</si>
  <si>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</si>
  <si>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</si>
  <si>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</si>
  <si>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</si>
  <si>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</si>
  <si>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</si>
  <si>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</si>
  <si>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</si>
  <si>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</si>
  <si>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</si>
  <si>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</si>
  <si>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</si>
  <si>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</si>
  <si>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</si>
  <si>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</si>
  <si>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</si>
  <si>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</si>
  <si>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</si>
  <si>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</si>
  <si>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</si>
  <si>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</si>
  <si>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</si>
  <si>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</si>
  <si>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</si>
  <si>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</si>
  <si>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</si>
  <si>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</si>
  <si>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</si>
  <si>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</si>
  <si>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</si>
  <si>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</si>
  <si>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</si>
  <si>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</si>
  <si>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</si>
  <si>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</si>
  <si>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</si>
  <si>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</si>
  <si>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</si>
  <si>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</si>
  <si>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</si>
  <si>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</si>
  <si>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</si>
  <si>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</si>
  <si>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</si>
  <si>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</si>
  <si>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</si>
  <si>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</si>
  <si>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</si>
  <si>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</si>
  <si>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</si>
  <si>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</si>
  <si>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</si>
  <si>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</si>
  <si>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</si>
  <si>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</si>
  <si>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</si>
  <si>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</si>
  <si>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</si>
  <si>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</si>
  <si>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</si>
  <si>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</si>
  <si>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</si>
  <si>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</si>
  <si>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</si>
  <si>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</si>
  <si>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</si>
  <si>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</si>
  <si>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</si>
  <si>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</si>
  <si>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</si>
  <si>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</si>
  <si>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</si>
  <si>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</si>
  <si>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</si>
  <si>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</si>
  <si>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</si>
  <si>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</si>
  <si>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</si>
  <si>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</si>
  <si>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</si>
  <si>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</si>
  <si>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</si>
  <si>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</si>
  <si>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</si>
  <si>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</si>
  <si>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</si>
  <si>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</si>
  <si>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</si>
  <si>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</si>
  <si>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</si>
  <si>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</si>
  <si>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</si>
  <si>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</si>
  <si>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</si>
  <si>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</si>
  <si>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</si>
  <si>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</si>
  <si>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</si>
  <si>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</si>
  <si>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</si>
  <si>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</si>
  <si>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</si>
  <si>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</si>
  <si>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</si>
  <si>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</si>
  <si>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</si>
  <si>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</si>
  <si>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</si>
  <si>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</si>
  <si>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</si>
  <si>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</si>
  <si>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</si>
  <si>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</si>
  <si>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</si>
  <si>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</si>
  <si>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</si>
  <si>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</si>
  <si>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</si>
  <si>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</si>
  <si>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</si>
  <si>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</si>
  <si>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</si>
  <si>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</si>
  <si>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</si>
  <si>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</si>
  <si>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</si>
  <si>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</si>
  <si>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</si>
  <si>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</si>
  <si>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</si>
  <si>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</si>
  <si>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</si>
  <si>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</si>
  <si>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</si>
  <si>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</si>
  <si>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</si>
  <si>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</si>
  <si>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</si>
  <si>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</si>
  <si>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</si>
  <si>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</si>
  <si>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</si>
  <si>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</si>
  <si>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</si>
  <si>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</si>
  <si>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</si>
  <si>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</si>
  <si>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</si>
  <si>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</si>
  <si>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</si>
  <si>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</si>
  <si>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</si>
  <si>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</si>
  <si>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</si>
  <si>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</si>
  <si>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</si>
  <si>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</si>
  <si>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</si>
  <si>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</si>
  <si>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</si>
  <si>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</si>
  <si>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</si>
  <si>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</si>
  <si>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</si>
  <si>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</si>
  <si>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</si>
  <si>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</si>
  <si>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</si>
  <si>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</si>
  <si>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</si>
  <si>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</si>
  <si>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</si>
  <si>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</si>
  <si>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</si>
  <si>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</si>
  <si>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</si>
  <si>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</si>
  <si>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</si>
  <si>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</si>
  <si>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</si>
  <si>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</si>
  <si>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</si>
  <si>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</si>
  <si>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</si>
  <si>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</si>
  <si>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</si>
  <si>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</si>
  <si>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</si>
  <si>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</si>
  <si>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</si>
  <si>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</si>
  <si>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</si>
  <si>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</si>
  <si>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</si>
  <si>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</si>
  <si>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</si>
  <si>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</si>
  <si>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</si>
  <si>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</si>
  <si>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</si>
  <si>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</si>
  <si>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</si>
  <si>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</si>
  <si>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</si>
  <si>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</si>
  <si>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</si>
  <si>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</si>
  <si>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</si>
  <si>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</si>
  <si>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</si>
  <si>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</si>
  <si>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</si>
  <si>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</si>
  <si>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</si>
  <si>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</si>
  <si>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</si>
  <si>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</si>
  <si>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</si>
  <si>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</si>
  <si>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</si>
  <si>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</si>
  <si>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</si>
  <si>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</si>
  <si>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</si>
  <si>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</si>
  <si>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</si>
  <si>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</si>
  <si>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</si>
  <si>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</si>
  <si>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</si>
  <si>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</si>
  <si>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</si>
  <si>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</si>
  <si>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</si>
  <si>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</si>
  <si>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</si>
  <si>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</si>
  <si>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</si>
  <si>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</si>
  <si>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</si>
  <si>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</si>
  <si>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</si>
  <si>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</si>
  <si>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</si>
  <si>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</si>
  <si>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</si>
  <si>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</si>
  <si>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</si>
  <si>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</si>
  <si>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</si>
  <si>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</si>
  <si>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</si>
  <si>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</si>
  <si>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</si>
  <si>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</si>
  <si>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</si>
  <si>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</si>
  <si>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</si>
  <si>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</si>
  <si>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</si>
  <si>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</si>
  <si>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</si>
  <si>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</si>
  <si>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</si>
  <si>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</si>
  <si>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</si>
  <si>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</si>
  <si>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</si>
  <si>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</si>
  <si>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</si>
  <si>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</si>
  <si>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</si>
  <si>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</si>
  <si>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</si>
  <si>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</si>
  <si>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</si>
  <si>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</si>
  <si>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</si>
  <si>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</si>
  <si>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</si>
  <si>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</si>
  <si>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</si>
  <si>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</si>
  <si>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</si>
  <si>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</si>
  <si>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</si>
  <si>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</si>
  <si>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</si>
  <si>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</si>
  <si>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</si>
  <si>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</si>
  <si>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</si>
  <si>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</si>
  <si>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</si>
  <si>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</si>
  <si>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</si>
  <si>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</si>
  <si>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</si>
  <si>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</si>
  <si>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</si>
  <si>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</si>
  <si>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</si>
  <si>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</si>
  <si>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</si>
  <si>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</si>
  <si>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</si>
  <si>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</si>
  <si>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</si>
  <si>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</si>
  <si>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</si>
  <si>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</si>
  <si>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</si>
  <si>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</si>
  <si>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</si>
  <si>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</si>
  <si>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</si>
  <si>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</si>
  <si>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</si>
  <si>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</si>
  <si>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</si>
  <si>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</si>
  <si>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</si>
  <si>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</si>
  <si>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</si>
  <si>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</si>
  <si>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</si>
  <si>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</si>
  <si>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</si>
  <si>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</si>
  <si>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</si>
  <si>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</si>
  <si>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</si>
  <si>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</si>
  <si>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</si>
  <si>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</si>
  <si>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</si>
  <si>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</si>
  <si>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</si>
  <si>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</si>
  <si>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</si>
  <si>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</si>
  <si>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</si>
  <si>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</si>
  <si>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</si>
  <si>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</si>
  <si>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</si>
  <si>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</si>
  <si>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</si>
  <si>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</si>
  <si>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</si>
  <si>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</si>
  <si>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</si>
  <si>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</si>
  <si>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</si>
  <si>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</si>
  <si>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</si>
  <si>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</si>
  <si>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</si>
  <si>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</si>
  <si>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</si>
  <si>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</si>
  <si>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</si>
  <si>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</si>
  <si>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</si>
  <si>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</si>
  <si>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</si>
  <si>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</si>
  <si>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</si>
  <si>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</si>
  <si>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</si>
  <si>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</si>
  <si>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</si>
  <si>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</si>
  <si>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</si>
  <si>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</si>
  <si>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</si>
  <si>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</si>
  <si>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</si>
  <si>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</si>
  <si>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</si>
  <si>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</si>
  <si>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</si>
  <si>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</si>
  <si>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</si>
  <si>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</si>
  <si>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</si>
  <si>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</si>
  <si>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</si>
  <si>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</si>
  <si>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</si>
  <si>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</si>
  <si>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</si>
  <si>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</si>
  <si>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</si>
  <si>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</si>
  <si>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</si>
  <si>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</si>
  <si>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</si>
  <si>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</si>
  <si>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</si>
  <si>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</si>
  <si>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</si>
  <si>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</si>
  <si>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</si>
  <si>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</si>
  <si>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</si>
  <si>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</si>
  <si>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</si>
  <si>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</si>
  <si>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</si>
  <si>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</si>
  <si>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</si>
  <si>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</si>
  <si>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</si>
  <si>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</si>
  <si>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</si>
  <si>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</si>
  <si>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</si>
  <si>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</si>
  <si>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</si>
  <si>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</si>
  <si>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</si>
  <si>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</si>
  <si>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</si>
  <si>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</si>
  <si>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</si>
  <si>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</si>
  <si>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</si>
  <si>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</si>
  <si>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</si>
  <si>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</si>
  <si>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</si>
  <si>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</si>
  <si>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</si>
  <si>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</si>
  <si>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</si>
  <si>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</si>
  <si>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</si>
  <si>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</si>
  <si>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</si>
  <si>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</si>
  <si>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</si>
  <si>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</si>
  <si>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</si>
  <si>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</si>
  <si>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</si>
  <si>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</si>
  <si>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</si>
  <si>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</si>
  <si>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</si>
  <si>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</si>
  <si>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</si>
  <si>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</si>
  <si>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</si>
  <si>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</si>
  <si>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</si>
  <si>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</si>
  <si>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</si>
  <si>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</si>
  <si>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</si>
  <si>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</si>
  <si>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</si>
  <si>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</si>
  <si>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</si>
  <si>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</si>
  <si>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</si>
  <si>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</si>
  <si>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</si>
  <si>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</si>
  <si>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</si>
  <si>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</si>
  <si>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</si>
  <si>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</si>
  <si>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</si>
  <si>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</si>
  <si>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</si>
  <si>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</si>
  <si>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</si>
  <si>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</si>
  <si>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</si>
  <si>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</si>
  <si>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</si>
  <si>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</si>
  <si>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</si>
  <si>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</si>
  <si>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</si>
  <si>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</si>
  <si>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</si>
  <si>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</si>
  <si>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</si>
  <si>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</si>
  <si>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</si>
  <si>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</si>
  <si>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</si>
  <si>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</si>
  <si>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</si>
  <si>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</si>
  <si>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</si>
  <si>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</si>
  <si>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</si>
  <si>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</si>
  <si>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</si>
  <si>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</si>
  <si>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</si>
  <si>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</si>
  <si>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</si>
  <si>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</si>
  <si>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</si>
  <si>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</si>
  <si>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</si>
  <si>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</si>
  <si>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</si>
  <si>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</si>
  <si>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</si>
  <si>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</si>
  <si>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</si>
  <si>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</si>
  <si>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</si>
  <si>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</si>
  <si>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</si>
  <si>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</si>
  <si>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</si>
  <si>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</si>
  <si>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</si>
  <si>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</si>
  <si>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</si>
  <si>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</si>
  <si>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</si>
  <si>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</si>
  <si>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</si>
  <si>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</si>
  <si>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</si>
  <si>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</si>
  <si>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</si>
  <si>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</si>
  <si>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</si>
  <si>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</si>
  <si>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</si>
  <si>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</si>
  <si>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</si>
  <si>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</si>
  <si>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</si>
  <si>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</si>
  <si>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</si>
  <si>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</si>
  <si>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</si>
  <si>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</si>
  <si>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</si>
  <si>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</si>
  <si>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</si>
  <si>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</si>
  <si>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</si>
  <si>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</si>
  <si>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</si>
  <si>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</si>
  <si>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</si>
  <si>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</si>
  <si>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</si>
  <si>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</si>
  <si>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</si>
  <si>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</si>
  <si>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</si>
  <si>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</si>
  <si>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</si>
  <si>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</si>
  <si>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</si>
  <si>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</si>
  <si>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</si>
  <si>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</si>
  <si>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</si>
  <si>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</si>
  <si>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</si>
  <si>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</si>
  <si>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</si>
  <si>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</si>
  <si>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</si>
  <si>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</si>
  <si>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</si>
  <si>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</si>
  <si>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</si>
  <si>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</si>
  <si>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</si>
  <si>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</si>
  <si>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</si>
  <si>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</si>
  <si>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</si>
  <si>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</si>
  <si>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</si>
  <si>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</si>
  <si>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</si>
  <si>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</si>
  <si>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</si>
  <si>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</si>
  <si>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</si>
  <si>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</si>
  <si>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</si>
  <si>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</si>
  <si>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</si>
  <si>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</si>
  <si>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</si>
  <si>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</si>
  <si>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</si>
  <si>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</si>
  <si>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</si>
  <si>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</si>
  <si>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</si>
  <si>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</si>
  <si>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</si>
  <si>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</si>
  <si>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</si>
  <si>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</si>
  <si>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</si>
  <si>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</si>
  <si>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</si>
  <si>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</si>
  <si>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</si>
  <si>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</si>
  <si>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</si>
  <si>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</si>
  <si>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</si>
  <si>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</si>
  <si>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</si>
  <si>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</si>
  <si>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</si>
  <si>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</si>
  <si>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</si>
  <si>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</si>
  <si>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</si>
  <si>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</si>
  <si>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</si>
  <si>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</si>
  <si>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</si>
  <si>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</si>
  <si>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</si>
  <si>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</si>
  <si>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</si>
  <si>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</si>
  <si>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</si>
  <si>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</si>
  <si>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</si>
  <si>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</si>
  <si>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</si>
  <si>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</si>
  <si>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</si>
  <si>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</si>
  <si>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</si>
  <si>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</si>
  <si>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</si>
  <si>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</si>
  <si>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</si>
  <si>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</si>
  <si>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</si>
  <si>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</si>
  <si>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</si>
  <si>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</si>
  <si>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</si>
  <si>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</si>
  <si>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</si>
  <si>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</si>
  <si>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</si>
  <si>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</si>
  <si>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</si>
  <si>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</si>
  <si>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</si>
  <si>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</si>
  <si>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</si>
  <si>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</si>
  <si>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</si>
  <si>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</si>
  <si>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</si>
  <si>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</si>
  <si>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</si>
  <si>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</si>
  <si>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</si>
  <si>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</si>
  <si>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</si>
  <si>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</si>
  <si>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</si>
  <si>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</si>
  <si>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</si>
  <si>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</si>
  <si>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</si>
  <si>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</si>
  <si>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</si>
  <si>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</si>
  <si>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</si>
  <si>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</si>
  <si>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</si>
  <si>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</si>
  <si>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</si>
  <si>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</si>
  <si>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</si>
  <si>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</si>
  <si>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</si>
  <si>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</si>
  <si>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</si>
  <si>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</si>
  <si>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</si>
  <si>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</si>
  <si>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</si>
  <si>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</si>
  <si>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</si>
  <si>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</si>
  <si>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</si>
  <si>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</si>
  <si>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</si>
  <si>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</si>
  <si>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</si>
  <si>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</si>
  <si>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</si>
  <si>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</si>
  <si>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</si>
  <si>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</si>
  <si>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</si>
  <si>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</si>
  <si>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</si>
  <si>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</si>
  <si>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</si>
  <si>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</si>
  <si>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</si>
  <si>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</si>
  <si>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</si>
  <si>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</si>
  <si>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</si>
  <si>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</si>
  <si>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</si>
  <si>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</si>
  <si>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</si>
  <si>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</si>
  <si>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</si>
  <si>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</si>
  <si>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</si>
  <si>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</si>
  <si>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</si>
  <si>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</si>
  <si>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</si>
  <si>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</si>
  <si>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</si>
  <si>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</si>
  <si>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</si>
  <si>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</si>
  <si>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</si>
  <si>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</si>
  <si>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</si>
  <si>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</si>
  <si>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</si>
  <si>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</si>
  <si>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</si>
  <si>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</si>
  <si>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</si>
  <si>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</si>
  <si>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</si>
  <si>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</si>
  <si>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</si>
  <si>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</si>
  <si>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</si>
  <si>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</si>
  <si>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</si>
  <si>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</si>
  <si>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</si>
  <si>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</si>
  <si>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</si>
  <si>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</si>
  <si>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</si>
  <si>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</si>
  <si>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</si>
  <si>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</si>
  <si>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</si>
  <si>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</si>
  <si>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</si>
  <si>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</si>
  <si>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</si>
  <si>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</si>
  <si>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</si>
  <si>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</si>
  <si>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</si>
  <si>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</si>
  <si>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</si>
  <si>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</si>
  <si>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</si>
  <si>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</si>
  <si>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</si>
  <si>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</si>
  <si>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</si>
  <si>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</si>
  <si>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</si>
  <si>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</si>
  <si>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</si>
  <si>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</si>
  <si>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</si>
  <si>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</si>
  <si>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</si>
  <si>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</si>
  <si>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</si>
  <si>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</si>
  <si>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</si>
  <si>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</si>
  <si>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</si>
  <si>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</si>
  <si>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</si>
  <si>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</si>
  <si>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</si>
  <si>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</si>
  <si>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</si>
  <si>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</si>
  <si>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</si>
  <si>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</si>
  <si>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</si>
  <si>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</si>
  <si>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</si>
  <si>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</si>
  <si>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</si>
  <si>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</si>
  <si>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</si>
  <si>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</si>
  <si>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</si>
  <si>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</si>
  <si>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</si>
  <si>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</si>
  <si>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</si>
  <si>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</si>
  <si>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</si>
  <si>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</si>
  <si>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</si>
  <si>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</si>
  <si>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</si>
  <si>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</si>
  <si>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</si>
  <si>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</si>
  <si>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</si>
  <si>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</si>
  <si>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</si>
  <si>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</si>
  <si>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</si>
  <si>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</si>
  <si>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</si>
  <si>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</si>
  <si>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</si>
  <si>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</si>
  <si>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</si>
  <si>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</si>
  <si>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</si>
  <si>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</si>
  <si>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</si>
  <si>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</si>
  <si>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</si>
  <si>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</si>
  <si>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</si>
  <si>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</si>
  <si>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</si>
  <si>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</si>
  <si>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</si>
  <si>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</si>
  <si>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</si>
  <si>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</si>
  <si>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</si>
  <si>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</si>
  <si>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</si>
  <si>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</si>
  <si>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</si>
  <si>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</si>
  <si>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</si>
  <si>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</si>
  <si>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</si>
  <si>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</si>
  <si>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</si>
  <si>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</si>
  <si>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</si>
  <si>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</si>
  <si>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</si>
  <si>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</si>
  <si>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</si>
  <si>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</si>
  <si>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</si>
  <si>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</si>
  <si>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</si>
  <si>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</si>
  <si>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</si>
  <si>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</si>
  <si>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</si>
  <si>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</si>
  <si>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</si>
  <si>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</si>
  <si>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</si>
  <si>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</si>
  <si>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</si>
  <si>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</si>
  <si>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</si>
  <si>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</si>
  <si>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</si>
  <si>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</si>
  <si>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</si>
  <si>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</si>
  <si>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</si>
  <si>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</si>
  <si>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</si>
  <si>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</si>
  <si>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</si>
  <si>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</si>
  <si>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</si>
  <si>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</si>
  <si>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</si>
  <si>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</si>
  <si>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</si>
  <si>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</si>
  <si>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</si>
  <si>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</si>
  <si>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</si>
  <si>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</si>
  <si>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</si>
  <si>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</si>
  <si>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</si>
  <si>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</si>
  <si>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</si>
  <si>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</si>
  <si>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</si>
  <si>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</si>
  <si>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</si>
  <si>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</si>
  <si>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</si>
  <si>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</si>
  <si>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</si>
  <si>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</si>
  <si>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</si>
  <si>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</si>
  <si>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</si>
  <si>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</si>
  <si>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</si>
  <si>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</si>
  <si>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</si>
  <si>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</si>
  <si>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</si>
  <si>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</si>
  <si>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</si>
  <si>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</si>
  <si>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</si>
  <si>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</si>
  <si>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</si>
  <si>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</si>
  <si>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</si>
  <si>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</si>
  <si>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</si>
  <si>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</si>
  <si>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</si>
  <si>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</si>
  <si>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</si>
  <si>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</si>
  <si>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</si>
  <si>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</si>
  <si>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</si>
  <si>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</si>
  <si>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</si>
  <si>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</si>
  <si>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</si>
  <si>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</si>
  <si>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</si>
  <si>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</si>
  <si>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</si>
  <si>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</si>
  <si>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</si>
  <si>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</si>
  <si>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</si>
  <si>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</si>
  <si>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</si>
  <si>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</si>
  <si>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</si>
  <si>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</si>
  <si>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</si>
  <si>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</si>
  <si>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</si>
  <si>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</si>
  <si>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</si>
  <si>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</si>
  <si>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</si>
  <si>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</si>
  <si>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</si>
  <si>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</si>
  <si>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</si>
  <si>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</si>
  <si>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</si>
  <si>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</si>
  <si>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</si>
  <si>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</si>
  <si>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</si>
  <si>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</si>
  <si>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</si>
  <si>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</si>
  <si>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</si>
  <si>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</si>
  <si>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</si>
  <si>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</si>
  <si>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</si>
  <si>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</si>
  <si>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</si>
  <si>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</si>
  <si>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</si>
  <si>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</si>
  <si>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</si>
  <si>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</si>
  <si>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</si>
  <si>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</si>
  <si>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</si>
  <si>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</si>
  <si>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</si>
  <si>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</si>
  <si>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</si>
  <si>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</si>
  <si>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</si>
  <si>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</si>
  <si>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</si>
  <si>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</si>
  <si>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</si>
  <si>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</si>
  <si>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</si>
  <si>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</si>
  <si>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</si>
  <si>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</si>
  <si>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</si>
  <si>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</si>
  <si>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</si>
  <si>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</si>
  <si>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</si>
  <si>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</si>
  <si>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</si>
  <si>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</si>
  <si>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</si>
  <si>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</si>
  <si>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</si>
  <si>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</si>
  <si>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</si>
  <si>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</si>
  <si>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</si>
  <si>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</si>
  <si>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</si>
  <si>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</si>
  <si>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</si>
  <si>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</si>
  <si>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</si>
  <si>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</si>
  <si>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</si>
  <si>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</si>
  <si>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</si>
  <si>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</si>
  <si>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</si>
  <si>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</si>
  <si>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</si>
  <si>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</si>
  <si>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</si>
  <si>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</si>
  <si>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</si>
  <si>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</si>
  <si>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</si>
  <si>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</si>
  <si>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</si>
  <si>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</si>
  <si>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</si>
  <si>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</si>
  <si>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</si>
  <si>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</si>
  <si>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</si>
  <si>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</si>
  <si>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</si>
  <si>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</si>
  <si>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</si>
  <si>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</si>
  <si>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</si>
  <si>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</si>
  <si>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</si>
  <si>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</si>
  <si>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</si>
  <si>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</si>
  <si>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</si>
  <si>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</si>
  <si>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</si>
  <si>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</si>
  <si>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</si>
  <si>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</si>
  <si>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</si>
  <si>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</si>
  <si>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</si>
  <si>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</si>
  <si>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</si>
  <si>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</si>
  <si>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</si>
  <si>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</si>
  <si>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</si>
  <si>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</si>
  <si>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</si>
  <si>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</si>
  <si>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</si>
  <si>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</si>
  <si>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</si>
  <si>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</si>
  <si>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</si>
  <si>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</si>
  <si>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</si>
  <si>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</si>
  <si>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</si>
  <si>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</si>
  <si>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</si>
  <si>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</si>
  <si>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</si>
  <si>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</si>
  <si>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</si>
  <si>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</si>
  <si>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</si>
  <si>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</si>
  <si>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</si>
  <si>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</si>
  <si>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</si>
  <si>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</si>
  <si>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</si>
  <si>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</si>
  <si>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</si>
  <si>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</si>
  <si>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</si>
  <si>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</si>
  <si>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</si>
  <si>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</si>
  <si>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</si>
  <si>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</si>
  <si>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</si>
  <si>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</si>
  <si>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</si>
  <si>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</si>
  <si>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</si>
  <si>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</si>
  <si>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</si>
  <si>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</si>
  <si>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</si>
  <si>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</si>
  <si>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</si>
  <si>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</si>
  <si>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</si>
  <si>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</si>
  <si>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</si>
  <si>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</si>
  <si>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</si>
  <si>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</si>
  <si>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</si>
  <si>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</si>
  <si>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</si>
  <si>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</si>
  <si>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</si>
  <si>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</si>
  <si>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</si>
  <si>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</si>
  <si>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</si>
  <si>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</si>
  <si>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</si>
  <si>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</si>
  <si>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</si>
  <si>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</si>
  <si>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</si>
  <si>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</si>
  <si>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</si>
  <si>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</si>
  <si>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</si>
  <si>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</si>
  <si>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</si>
  <si>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</si>
  <si>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</si>
  <si>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</si>
  <si>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</si>
  <si>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</si>
  <si>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</si>
  <si>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</si>
  <si>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</si>
  <si>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</si>
  <si>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</si>
  <si>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</si>
  <si>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</si>
  <si>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</si>
  <si>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</si>
  <si>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</si>
  <si>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</si>
  <si>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</si>
  <si>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</si>
  <si>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</si>
  <si>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</si>
  <si>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</si>
  <si>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</si>
  <si>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</si>
  <si>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</si>
  <si>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</si>
  <si>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</si>
  <si>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</si>
  <si>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</si>
  <si>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</si>
  <si>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</si>
  <si>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</si>
  <si>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</si>
  <si>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</si>
  <si>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</si>
  <si>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</si>
  <si>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</si>
  <si>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</si>
  <si>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</si>
  <si>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</si>
  <si>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</si>
  <si>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</si>
  <si>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</si>
  <si>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</si>
  <si>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</si>
  <si>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</si>
  <si>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</si>
  <si>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</si>
  <si>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</si>
  <si>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</si>
  <si>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</si>
  <si>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</si>
  <si>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</si>
  <si>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</si>
  <si>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</si>
  <si>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</si>
  <si>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</si>
  <si>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</si>
  <si>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</si>
  <si>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</si>
  <si>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</si>
  <si>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</si>
  <si>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</si>
  <si>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</si>
  <si>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</si>
  <si>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</si>
  <si>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</si>
  <si>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</si>
  <si>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</si>
  <si>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</si>
  <si>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</si>
  <si>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</si>
  <si>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</si>
  <si>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</si>
  <si>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</si>
  <si>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</si>
  <si>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</si>
  <si>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</si>
  <si>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</si>
  <si>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</si>
  <si>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</si>
  <si>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</si>
  <si>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</si>
  <si>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</si>
  <si>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</si>
  <si>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</si>
  <si>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</si>
  <si>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</si>
  <si>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</si>
  <si>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</si>
  <si>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</si>
  <si>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</si>
  <si>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</si>
  <si>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</si>
  <si>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</si>
  <si>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</si>
  <si>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</si>
  <si>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</si>
  <si>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</si>
  <si>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</si>
  <si>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</si>
  <si>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</si>
  <si>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</si>
  <si>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</si>
  <si>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</si>
  <si>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</si>
  <si>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</si>
  <si>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</si>
  <si>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</si>
  <si>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</si>
  <si>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</si>
  <si>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</si>
  <si>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</si>
  <si>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</si>
  <si>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</si>
  <si>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</si>
  <si>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</si>
  <si>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</si>
  <si>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</si>
  <si>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</si>
  <si>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</si>
  <si>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</si>
  <si>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</si>
  <si>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</si>
  <si>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</si>
  <si>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</si>
  <si>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</si>
  <si>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</si>
  <si>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</si>
  <si>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</si>
  <si>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</si>
  <si>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</si>
  <si>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</si>
  <si>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</si>
  <si>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</si>
  <si>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</si>
  <si>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</si>
  <si>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</si>
  <si>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</si>
  <si>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</si>
  <si>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</si>
  <si>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</si>
  <si>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</si>
  <si>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</si>
  <si>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</si>
  <si>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</si>
  <si>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</si>
  <si>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</si>
  <si>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</si>
  <si>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</si>
  <si>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</si>
  <si>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</si>
  <si>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</si>
  <si>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</si>
  <si>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</si>
  <si>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</si>
  <si>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</si>
  <si>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</si>
  <si>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</si>
  <si>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</si>
  <si>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</si>
  <si>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</si>
  <si>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</si>
  <si>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</si>
  <si>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</si>
  <si>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</si>
  <si>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</si>
  <si>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</si>
  <si>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</si>
  <si>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</si>
  <si>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</si>
  <si>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</si>
  <si>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</si>
  <si>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</si>
  <si>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</si>
  <si>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</si>
  <si>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</si>
  <si>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</si>
  <si>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</si>
  <si>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</si>
  <si>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</si>
  <si>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</si>
  <si>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</si>
  <si>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</si>
  <si>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</si>
  <si>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</si>
  <si>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</si>
  <si>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</si>
  <si>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</si>
  <si>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</si>
  <si>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</si>
  <si>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</si>
  <si>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</si>
  <si>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</si>
  <si>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</si>
  <si>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</si>
  <si>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</si>
  <si>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</si>
  <si>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</si>
  <si>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</si>
  <si>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</si>
  <si>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</si>
  <si>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</si>
  <si>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</si>
  <si>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</si>
  <si>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</si>
  <si>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</si>
  <si>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</si>
  <si>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</si>
  <si>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</si>
  <si>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</si>
  <si>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</si>
  <si>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</si>
  <si>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</si>
  <si>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</si>
  <si>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</si>
  <si>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</si>
  <si>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</si>
  <si>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</si>
  <si>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</si>
  <si>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</si>
  <si>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</si>
  <si>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</si>
  <si>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</si>
  <si>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</si>
  <si>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</si>
  <si>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</si>
  <si>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</si>
  <si>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</si>
  <si>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</si>
  <si>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</si>
  <si>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</si>
  <si>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</si>
  <si>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</si>
  <si>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</si>
  <si>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</si>
  <si>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</si>
  <si>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</si>
  <si>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</si>
  <si>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</si>
  <si>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</si>
  <si>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</si>
  <si>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</si>
  <si>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</si>
  <si>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</si>
  <si>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</si>
  <si>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</si>
  <si>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</si>
  <si>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</si>
  <si>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</si>
  <si>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</si>
  <si>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</si>
  <si>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</si>
  <si>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</si>
  <si>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</si>
  <si>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</si>
  <si>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</si>
  <si>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</si>
  <si>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</si>
  <si>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</si>
  <si>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</si>
  <si>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</si>
  <si>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</si>
  <si>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</si>
  <si>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</si>
  <si>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</si>
  <si>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</si>
  <si>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</si>
  <si>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</si>
  <si>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</si>
  <si>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</si>
  <si>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</si>
  <si>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</si>
  <si>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</si>
  <si>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</si>
  <si>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</si>
  <si>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</si>
  <si>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</si>
  <si>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</si>
  <si>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</si>
  <si>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</si>
  <si>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</si>
  <si>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</si>
  <si>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</si>
  <si>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</si>
  <si>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</si>
  <si>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</si>
  <si>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</si>
  <si>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</si>
  <si>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</si>
  <si>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</si>
  <si>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</si>
  <si>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</si>
  <si>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</si>
  <si>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</si>
  <si>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</si>
  <si>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</si>
  <si>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</si>
  <si>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</si>
  <si>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</si>
  <si>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</si>
  <si>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</si>
  <si>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</si>
  <si>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</si>
  <si>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</si>
  <si>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</si>
  <si>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</si>
  <si>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</si>
  <si>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</si>
  <si>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</si>
  <si>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</si>
  <si>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</si>
  <si>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</si>
  <si>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</si>
  <si>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</si>
  <si>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</si>
  <si>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</si>
  <si>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</si>
  <si>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</si>
  <si>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</si>
  <si>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</si>
  <si>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</si>
  <si>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</si>
  <si>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</si>
  <si>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</si>
  <si>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</si>
  <si>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</si>
  <si>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</si>
  <si>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</si>
  <si>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</si>
  <si>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</si>
  <si>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</si>
  <si>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</si>
  <si>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</si>
  <si>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</si>
  <si>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</si>
  <si>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</si>
  <si>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</si>
  <si>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</si>
  <si>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</si>
  <si>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</si>
  <si>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</si>
  <si>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</si>
  <si>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</si>
  <si>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</si>
  <si>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</si>
  <si>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</si>
  <si>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</si>
  <si>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</si>
  <si>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</si>
  <si>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</si>
  <si>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</si>
  <si>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</si>
  <si>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</si>
  <si>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</si>
  <si>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</si>
  <si>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</si>
  <si>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</si>
  <si>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</si>
  <si>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</si>
  <si>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</si>
  <si>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</si>
  <si>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</si>
  <si>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</si>
  <si>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</si>
  <si>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</si>
  <si>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</si>
  <si>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</si>
  <si>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</si>
  <si>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</si>
  <si>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</si>
  <si>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</si>
  <si>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</si>
  <si>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</si>
  <si>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</si>
  <si>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</si>
  <si>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</si>
  <si>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</si>
  <si>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</si>
  <si>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</si>
  <si>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</si>
  <si>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</si>
  <si>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</si>
  <si>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</si>
  <si>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</si>
  <si>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</si>
  <si>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</si>
  <si>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</si>
  <si>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</si>
  <si>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</si>
  <si>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</si>
  <si>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</si>
  <si>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</si>
  <si>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</si>
  <si>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</si>
  <si>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</si>
  <si>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</si>
  <si>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</si>
  <si>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</si>
  <si>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</si>
  <si>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</si>
  <si>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</si>
  <si>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</si>
  <si>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</si>
  <si>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</si>
  <si>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</si>
  <si>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</si>
  <si>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</si>
  <si>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</si>
  <si>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</si>
  <si>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</si>
  <si>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</si>
  <si>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</si>
  <si>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</si>
  <si>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</si>
  <si>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</si>
  <si>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</si>
  <si>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</si>
  <si>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</si>
  <si>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</si>
  <si>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</si>
  <si>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</si>
  <si>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</si>
  <si>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</si>
  <si>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</si>
  <si>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</si>
  <si>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</si>
  <si>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</si>
  <si>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</si>
  <si>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</si>
  <si>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</si>
  <si>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</si>
  <si>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</si>
  <si>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</si>
  <si>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</si>
  <si>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</si>
  <si>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</si>
  <si>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</si>
  <si>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</si>
  <si>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</si>
  <si>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</si>
  <si>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</si>
  <si>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</si>
  <si>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</si>
  <si>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</si>
  <si>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</si>
  <si>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</si>
  <si>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</si>
  <si>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</si>
  <si>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</si>
  <si>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</si>
  <si>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</si>
  <si>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</si>
  <si>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</si>
  <si>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</si>
  <si>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</si>
  <si>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</si>
  <si>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</si>
  <si>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</si>
  <si>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</si>
  <si>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</si>
  <si>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</si>
  <si>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</si>
  <si>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</si>
  <si>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</si>
  <si>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</si>
  <si>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</si>
  <si>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</si>
  <si>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</si>
  <si>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</si>
  <si>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</si>
  <si>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</si>
  <si>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</si>
  <si>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</si>
  <si>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</si>
  <si>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</si>
  <si>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</si>
  <si>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</si>
  <si>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</si>
  <si>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</si>
  <si>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</si>
  <si>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</si>
  <si>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</si>
  <si>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</si>
  <si>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</si>
  <si>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</si>
  <si>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</si>
  <si>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</si>
  <si>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</si>
  <si>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</si>
  <si>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</si>
  <si>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</si>
  <si>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</si>
  <si>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</si>
  <si>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</si>
  <si>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</si>
  <si>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</si>
  <si>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</si>
  <si>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</si>
  <si>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</si>
  <si>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</si>
  <si>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</si>
  <si>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</si>
  <si>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</si>
  <si>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</si>
  <si>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</si>
  <si>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</si>
  <si>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</si>
  <si>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</si>
  <si>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</si>
  <si>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</si>
  <si>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</si>
  <si>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</si>
  <si>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</si>
  <si>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</si>
  <si>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</si>
  <si>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</si>
  <si>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</si>
  <si>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</si>
  <si>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</si>
  <si>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</si>
  <si>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</si>
  <si>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</si>
  <si>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</si>
  <si>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</si>
  <si>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</si>
  <si>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</si>
  <si>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</si>
  <si>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</si>
  <si>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</si>
  <si>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</si>
  <si>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</si>
  <si>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</si>
  <si>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</si>
  <si>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</si>
  <si>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</si>
  <si>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</si>
  <si>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</si>
  <si>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</si>
  <si>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</si>
  <si>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</si>
  <si>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</si>
  <si>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</si>
  <si>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</si>
  <si>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</si>
  <si>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</si>
  <si>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</si>
  <si>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</si>
  <si>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</si>
  <si>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</si>
  <si>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</si>
  <si>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</si>
  <si>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</si>
  <si>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</si>
  <si>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</si>
  <si>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</si>
  <si>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</si>
  <si>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</si>
  <si>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</si>
  <si>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</si>
  <si>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</si>
  <si>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</si>
  <si>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</si>
  <si>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</si>
  <si>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</si>
  <si>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</si>
  <si>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</si>
  <si>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</si>
  <si>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</si>
  <si>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</si>
  <si>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</si>
  <si>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</si>
  <si>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</si>
  <si>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</si>
  <si>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</si>
  <si>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</si>
  <si>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</si>
  <si>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</si>
  <si>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</si>
  <si>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</si>
  <si>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</si>
  <si>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</si>
  <si>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</si>
  <si>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</si>
  <si>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</si>
  <si>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</si>
  <si>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</si>
  <si>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</si>
  <si>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</si>
  <si>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</si>
  <si>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</si>
  <si>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</si>
  <si>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</si>
  <si>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</si>
  <si>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</si>
  <si>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</si>
  <si>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</si>
  <si>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</si>
  <si>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</si>
  <si>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</si>
  <si>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</si>
  <si>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</si>
  <si>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</si>
  <si>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</si>
  <si>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</si>
  <si>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</si>
  <si>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</si>
  <si>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</si>
  <si>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</si>
  <si>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</si>
  <si>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</si>
  <si>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</si>
  <si>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</si>
  <si>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</si>
  <si>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</si>
  <si>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</si>
  <si>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</si>
  <si>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</si>
  <si>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</si>
  <si>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</si>
  <si>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</si>
  <si>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</si>
  <si>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</si>
  <si>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</si>
  <si>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</si>
  <si>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</si>
  <si>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</si>
  <si>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</si>
  <si>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</si>
  <si>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</si>
  <si>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</si>
  <si>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</si>
  <si>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</si>
  <si>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</si>
  <si>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</si>
  <si>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</si>
  <si>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</si>
  <si>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</si>
  <si>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</si>
  <si>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</si>
  <si>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</si>
  <si>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</si>
  <si>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</si>
  <si>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</si>
  <si>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</si>
  <si>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</si>
  <si>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</si>
  <si>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</si>
  <si>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</si>
  <si>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</si>
  <si>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</si>
  <si>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</si>
  <si>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</si>
  <si>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</si>
  <si>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</si>
  <si>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</si>
  <si>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</si>
  <si>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</si>
  <si>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</si>
  <si>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</si>
  <si>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</si>
  <si>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</si>
  <si>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</si>
  <si>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</si>
  <si>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</si>
  <si>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</si>
  <si>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</si>
  <si>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</si>
  <si>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</si>
  <si>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</si>
  <si>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</si>
  <si>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</si>
  <si>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</si>
  <si>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</si>
  <si>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</si>
  <si>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</si>
  <si>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</si>
  <si>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</si>
  <si>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</si>
  <si>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</si>
  <si>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</si>
  <si>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</si>
  <si>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</si>
  <si>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</si>
  <si>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</si>
  <si>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</si>
  <si>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</si>
  <si>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</si>
  <si>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</si>
  <si>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</si>
  <si>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</si>
  <si>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</si>
  <si>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</si>
  <si>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</si>
  <si>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</si>
  <si>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</si>
  <si>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</si>
  <si>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</si>
  <si>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</si>
  <si>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</si>
  <si>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</si>
  <si>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</si>
  <si>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</si>
  <si>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</si>
  <si>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</si>
  <si>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</si>
  <si>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</si>
  <si>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</si>
  <si>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</si>
  <si>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</si>
  <si>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</si>
  <si>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</si>
  <si>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</si>
  <si>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</si>
  <si>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</si>
  <si>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</si>
  <si>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</si>
  <si>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</si>
  <si>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</si>
  <si>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</si>
  <si>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</si>
  <si>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</si>
  <si>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</si>
  <si>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</si>
  <si>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</si>
  <si>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</si>
  <si>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</si>
  <si>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</si>
  <si>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</si>
  <si>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</si>
  <si>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</si>
  <si>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</si>
  <si>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</si>
  <si>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</si>
  <si>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</si>
  <si>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</si>
  <si>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</si>
  <si>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</si>
  <si>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</si>
  <si>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</si>
  <si>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</si>
  <si>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</si>
  <si>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</si>
  <si>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</si>
  <si>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</si>
  <si>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</si>
  <si>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</si>
  <si>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</si>
  <si>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</si>
  <si>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</si>
  <si>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</si>
  <si>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</si>
  <si>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</si>
  <si>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</si>
  <si>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</si>
  <si>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</si>
  <si>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</si>
  <si>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</si>
  <si>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</si>
  <si>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</si>
  <si>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</si>
  <si>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</si>
  <si>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</si>
  <si>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</si>
  <si>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</si>
  <si>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</si>
  <si>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</si>
  <si>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</si>
  <si>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</si>
  <si>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</si>
  <si>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</si>
  <si>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</si>
  <si>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</si>
  <si>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</si>
  <si>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</si>
  <si>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</si>
  <si>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</si>
  <si>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</si>
  <si>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</si>
  <si>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</si>
  <si>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</si>
  <si>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</si>
  <si>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</si>
  <si>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</si>
  <si>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</si>
  <si>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</si>
  <si>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</si>
  <si>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</si>
  <si>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</si>
  <si>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</si>
  <si>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</si>
  <si>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</si>
  <si>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</si>
  <si>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</si>
  <si>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</si>
  <si>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</si>
  <si>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</si>
  <si>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</si>
  <si>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</si>
  <si>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</si>
  <si>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</si>
  <si>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</si>
  <si>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</si>
  <si>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</si>
  <si>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</si>
  <si>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</si>
  <si>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</si>
  <si>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</si>
  <si>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</si>
  <si>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</si>
  <si>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</si>
  <si>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</si>
  <si>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</si>
  <si>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</si>
  <si>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</si>
  <si>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</si>
  <si>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</si>
  <si>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</si>
  <si>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</si>
  <si>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</si>
  <si>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</si>
  <si>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</si>
  <si>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</si>
  <si>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</si>
  <si>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</si>
  <si>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</si>
  <si>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</si>
  <si>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</si>
  <si>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</si>
  <si>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</si>
  <si>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</si>
  <si>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</si>
  <si>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</si>
  <si>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</si>
  <si>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</si>
  <si>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</si>
  <si>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</si>
  <si>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</si>
  <si>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</si>
  <si>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</si>
  <si>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</si>
  <si>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</si>
  <si>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</si>
  <si>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</si>
  <si>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</si>
  <si>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</si>
  <si>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</si>
  <si>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</si>
  <si>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</si>
  <si>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</si>
  <si>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</si>
  <si>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</si>
  <si>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</si>
  <si>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</si>
  <si>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</si>
  <si>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</si>
  <si>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</si>
  <si>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</si>
  <si>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</si>
  <si>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</si>
  <si>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</si>
  <si>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</si>
  <si>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</si>
  <si>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</si>
  <si>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</si>
  <si>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</si>
  <si>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</si>
  <si>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</si>
  <si>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</si>
  <si>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</si>
  <si>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</si>
  <si>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</si>
  <si>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</si>
  <si>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</si>
  <si>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</si>
  <si>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</si>
  <si>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</si>
  <si>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</si>
  <si>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</si>
  <si>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</si>
  <si>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</si>
  <si>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</si>
  <si>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</si>
  <si>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</si>
  <si>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</si>
  <si>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</si>
  <si>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</si>
  <si>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</si>
  <si>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</si>
  <si>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</si>
  <si>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</si>
  <si>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</si>
  <si>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</si>
  <si>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</si>
  <si>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</si>
  <si>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</si>
  <si>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</si>
  <si>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</si>
  <si>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</si>
  <si>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</si>
  <si>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</si>
  <si>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</si>
  <si>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</si>
  <si>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</si>
  <si>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</si>
  <si>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</si>
  <si>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</si>
  <si>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</si>
  <si>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</si>
  <si>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</si>
  <si>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</si>
  <si>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</si>
  <si>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</si>
  <si>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</si>
  <si>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</si>
  <si>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</si>
  <si>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</si>
  <si>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</si>
  <si>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</si>
  <si>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</si>
  <si>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</si>
  <si>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</si>
  <si>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</si>
  <si>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</si>
  <si>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</si>
  <si>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</si>
  <si>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</si>
  <si>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</si>
  <si>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</si>
  <si>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</si>
  <si>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</si>
  <si>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</si>
  <si>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</si>
  <si>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</si>
  <si>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</si>
  <si>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</si>
  <si>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</si>
  <si>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</si>
  <si>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</si>
  <si>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</si>
  <si>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</si>
  <si>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</si>
  <si>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</si>
  <si>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</si>
  <si>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</si>
  <si>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</si>
  <si>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</si>
  <si>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</si>
  <si>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</si>
  <si>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</si>
  <si>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</si>
  <si>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</si>
  <si>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</si>
  <si>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</si>
  <si>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</si>
  <si>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</si>
  <si>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</si>
  <si>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</si>
  <si>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</si>
  <si>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</si>
  <si>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</si>
  <si>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</si>
  <si>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</si>
  <si>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</si>
  <si>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</si>
  <si>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</si>
  <si>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</si>
  <si>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</si>
  <si>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</si>
  <si>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</si>
  <si>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</si>
  <si>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</si>
  <si>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</si>
  <si>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</si>
  <si>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</si>
  <si>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</si>
  <si>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</si>
  <si>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</si>
  <si>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</si>
  <si>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</si>
  <si>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</si>
  <si>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</si>
  <si>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</si>
  <si>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</si>
  <si>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</si>
  <si>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</si>
  <si>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</si>
  <si>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</si>
  <si>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</si>
  <si>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</si>
  <si>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</si>
  <si>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</si>
  <si>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</si>
  <si>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</si>
  <si>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</si>
  <si>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</si>
  <si>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</si>
  <si>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</si>
  <si>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</si>
  <si>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</si>
  <si>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</si>
  <si>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</si>
  <si>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</si>
  <si>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</si>
  <si>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</si>
  <si>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</si>
  <si>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</si>
  <si>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</si>
  <si>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</si>
  <si>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</si>
  <si>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</si>
  <si>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</si>
  <si>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</si>
  <si>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</si>
  <si>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</si>
  <si>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</si>
  <si>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</si>
  <si>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</si>
  <si>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</si>
  <si>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</si>
  <si>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</si>
  <si>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</si>
  <si>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</si>
  <si>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</si>
  <si>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</si>
  <si>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</si>
  <si>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</si>
  <si>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</si>
  <si>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</si>
  <si>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</si>
  <si>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</si>
  <si>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</si>
  <si>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</si>
  <si>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</si>
  <si>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</si>
  <si>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</si>
  <si>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</si>
  <si>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</si>
  <si>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</si>
  <si>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</si>
  <si>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</si>
  <si>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</si>
  <si>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</si>
  <si>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</si>
  <si>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</si>
  <si>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</si>
  <si>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</si>
  <si>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</si>
  <si>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</si>
  <si>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</si>
  <si>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</si>
  <si>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</si>
  <si>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</si>
  <si>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</si>
  <si>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</si>
  <si>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</si>
  <si>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</si>
  <si>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</si>
  <si>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</si>
  <si>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</si>
  <si>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</si>
  <si>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</si>
  <si>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</si>
  <si>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</si>
  <si>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</si>
  <si>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</si>
  <si>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</si>
  <si>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</si>
  <si>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</si>
  <si>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</si>
  <si>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</si>
  <si>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</si>
  <si>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</si>
  <si>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</si>
  <si>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</si>
  <si>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</si>
  <si>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</si>
  <si>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</si>
  <si>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</si>
  <si>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</si>
  <si>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</si>
  <si>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</si>
  <si>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</si>
  <si>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</si>
  <si>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</si>
  <si>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</si>
  <si>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</si>
  <si>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</si>
  <si>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</si>
  <si>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</si>
  <si>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</si>
  <si>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</si>
  <si>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</si>
  <si>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</si>
  <si>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</si>
  <si>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</si>
  <si>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</si>
  <si>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</si>
  <si>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</si>
  <si>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</si>
  <si>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</si>
  <si>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</si>
  <si>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</si>
  <si>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</si>
  <si>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</si>
  <si>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</si>
  <si>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</si>
  <si>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</si>
  <si>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</si>
  <si>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</si>
  <si>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</si>
  <si>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</si>
  <si>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</si>
  <si>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</si>
  <si>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</si>
  <si>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</si>
  <si>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</si>
  <si>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</si>
  <si>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</si>
  <si>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</si>
  <si>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</si>
  <si>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</si>
  <si>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</si>
  <si>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</si>
  <si>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</si>
  <si>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</si>
  <si>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</si>
  <si>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</si>
  <si>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</si>
  <si>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</si>
  <si>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</si>
  <si>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</si>
  <si>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</si>
  <si>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</si>
  <si>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</si>
  <si>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</si>
  <si>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</si>
  <si>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</si>
  <si>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</si>
  <si>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</si>
  <si>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</si>
  <si>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</si>
  <si>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</si>
  <si>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</si>
  <si>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</si>
  <si>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</si>
  <si>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</si>
  <si>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</si>
  <si>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</si>
  <si>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</si>
  <si>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</si>
  <si>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</si>
  <si>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</si>
  <si>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</si>
  <si>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</si>
  <si>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</si>
  <si>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</si>
  <si>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</si>
  <si>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</si>
  <si>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</si>
  <si>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</si>
  <si>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</si>
  <si>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</si>
  <si>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</si>
  <si>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</si>
  <si>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</si>
  <si>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</si>
  <si>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</si>
  <si>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</si>
  <si>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</si>
  <si>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</si>
  <si>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</si>
  <si>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</si>
  <si>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</si>
  <si>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</si>
  <si>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</si>
  <si>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</si>
  <si>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</si>
  <si>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</si>
  <si>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</si>
  <si>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</si>
  <si>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</si>
  <si>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</si>
  <si>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</si>
  <si>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</si>
  <si>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</si>
  <si>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</si>
  <si>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</si>
  <si>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</si>
  <si>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</si>
  <si>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</si>
  <si>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</si>
  <si>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</si>
  <si>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</si>
  <si>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</si>
  <si>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</si>
  <si>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</si>
  <si>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</si>
  <si>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</si>
  <si>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</si>
  <si>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</si>
  <si>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</si>
  <si>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</si>
  <si>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</si>
  <si>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</si>
  <si>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</si>
  <si>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</si>
  <si>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</si>
  <si>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</si>
  <si>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</si>
  <si>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</si>
  <si>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</si>
  <si>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</si>
  <si>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</si>
  <si>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</si>
  <si>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</si>
  <si>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</si>
  <si>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</si>
  <si>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</si>
  <si>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</si>
  <si>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</si>
  <si>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</si>
  <si>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</si>
  <si>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</si>
  <si>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</si>
  <si>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</si>
  <si>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</si>
  <si>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</si>
  <si>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</si>
  <si>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</si>
  <si>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</si>
  <si>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</si>
  <si>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</si>
  <si>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</si>
  <si>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</si>
  <si>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</si>
  <si>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</si>
  <si>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</si>
  <si>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</si>
  <si>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</si>
  <si>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</si>
  <si>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</si>
  <si>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</si>
  <si>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</si>
  <si>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</si>
  <si>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</si>
  <si>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</si>
  <si>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</si>
  <si>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</si>
  <si>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</si>
  <si>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</si>
  <si>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</si>
  <si>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</si>
  <si>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</si>
  <si>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</si>
  <si>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</si>
  <si>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</si>
  <si>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</si>
  <si>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</si>
  <si>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</si>
  <si>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</si>
  <si>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</si>
  <si>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</si>
  <si>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</si>
  <si>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</si>
  <si>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</si>
  <si>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</si>
  <si>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</si>
  <si>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</si>
  <si>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</si>
  <si>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</si>
  <si>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</si>
  <si>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</si>
  <si>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</si>
  <si>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</si>
  <si>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</si>
  <si>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</si>
  <si>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</si>
  <si>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</si>
  <si>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</si>
  <si>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</si>
  <si>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</si>
  <si>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</si>
  <si>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</si>
  <si>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</si>
  <si>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</si>
  <si>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</si>
  <si>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</si>
  <si>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</si>
  <si>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</si>
  <si>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</si>
  <si>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</si>
  <si>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</si>
  <si>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</si>
  <si>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</si>
  <si>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</si>
  <si>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</si>
  <si>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</si>
  <si>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</si>
  <si>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</si>
  <si>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</si>
  <si>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</si>
  <si>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</si>
  <si>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</si>
  <si>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</si>
  <si>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</si>
  <si>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</si>
  <si>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</si>
  <si>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</si>
  <si>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</si>
  <si>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</si>
  <si>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</si>
  <si>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</si>
  <si>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</si>
  <si>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</si>
  <si>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</si>
  <si>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</si>
  <si>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</si>
  <si>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</si>
  <si>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</si>
  <si>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</si>
  <si>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</si>
  <si>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</si>
  <si>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</si>
  <si>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</si>
  <si>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</si>
  <si>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</si>
  <si>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</si>
  <si>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</si>
  <si>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</si>
  <si>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</si>
  <si>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</si>
  <si>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</si>
  <si>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</si>
  <si>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</si>
  <si>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</si>
  <si>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</si>
  <si>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</si>
  <si>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</si>
  <si>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</si>
  <si>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</si>
  <si>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</si>
  <si>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</si>
  <si>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</si>
  <si>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</si>
  <si>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</si>
  <si>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</si>
  <si>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</si>
  <si>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</si>
  <si>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</si>
  <si>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</si>
  <si>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</si>
  <si>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</si>
  <si>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</si>
  <si>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</si>
  <si>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</si>
  <si>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</si>
  <si>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</si>
  <si>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</si>
  <si>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</si>
  <si>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</si>
  <si>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</si>
  <si>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</si>
  <si>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</si>
  <si>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</si>
  <si>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</si>
  <si>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</si>
  <si>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</si>
  <si>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</si>
  <si>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</si>
  <si>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</si>
  <si>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</si>
  <si>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</si>
  <si>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</si>
  <si>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</si>
  <si>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</si>
  <si>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</si>
  <si>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</si>
  <si>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</si>
  <si>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</si>
  <si>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</si>
  <si>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</si>
  <si>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</si>
  <si>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</si>
  <si>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</si>
  <si>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</si>
  <si>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</si>
  <si>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</si>
  <si>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</si>
  <si>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</si>
  <si>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</si>
  <si>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</si>
  <si>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</si>
  <si>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</si>
  <si>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</si>
  <si>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</si>
  <si>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</si>
  <si>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</si>
  <si>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</si>
  <si>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</si>
  <si>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</si>
  <si>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</si>
  <si>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</si>
  <si>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</si>
  <si>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</si>
  <si>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</si>
  <si>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</si>
  <si>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</si>
  <si>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</si>
  <si>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</si>
  <si>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</si>
  <si>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</si>
  <si>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</si>
  <si>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</si>
  <si>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</si>
  <si>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</si>
  <si>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</si>
  <si>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</si>
  <si>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</si>
  <si>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</si>
  <si>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</si>
  <si>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</si>
  <si>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</si>
  <si>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</si>
  <si>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</si>
  <si>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</si>
  <si>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</si>
  <si>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</si>
  <si>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</si>
  <si>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</si>
  <si>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</si>
  <si>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</si>
  <si>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</si>
  <si>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</si>
  <si>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</si>
  <si>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</si>
  <si>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</si>
  <si>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</si>
  <si>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</si>
  <si>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</si>
  <si>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</si>
  <si>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</si>
  <si>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</si>
  <si>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</si>
  <si>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</si>
  <si>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</si>
  <si>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</si>
  <si>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</si>
  <si>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</si>
  <si>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</si>
  <si>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</si>
  <si>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</si>
  <si>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</si>
  <si>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</si>
  <si>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</si>
  <si>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</si>
  <si>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</si>
  <si>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</si>
  <si>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</si>
  <si>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</si>
  <si>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</si>
  <si>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</si>
  <si>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</si>
  <si>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</si>
  <si>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</si>
  <si>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</si>
  <si>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</si>
  <si>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</si>
  <si>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</si>
  <si>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</si>
  <si>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</si>
  <si>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</si>
  <si>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</si>
  <si>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</si>
  <si>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</si>
  <si>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</si>
  <si>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</si>
  <si>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</si>
  <si>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</si>
  <si>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</si>
  <si>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</si>
  <si>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</si>
  <si>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</si>
  <si>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</si>
  <si>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</si>
  <si>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</si>
  <si>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</si>
  <si>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</si>
  <si>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</si>
  <si>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</si>
  <si>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</si>
  <si>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</si>
  <si>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</si>
  <si>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</si>
  <si>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</si>
  <si>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</si>
  <si>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</si>
  <si>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</si>
  <si>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</si>
  <si>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</si>
  <si>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</si>
  <si>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</si>
  <si>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</si>
  <si>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</si>
  <si>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</si>
  <si>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</si>
  <si>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</si>
  <si>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</si>
  <si>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</si>
  <si>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</si>
  <si>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</si>
  <si>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</si>
  <si>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</si>
  <si>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</si>
  <si>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</si>
  <si>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</si>
  <si>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</si>
  <si>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</si>
  <si>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</si>
  <si>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</si>
  <si>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</si>
  <si>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</si>
  <si>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</si>
  <si>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</si>
  <si>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</si>
  <si>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</si>
  <si>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</si>
  <si>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</si>
  <si>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</si>
  <si>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</si>
  <si>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</si>
  <si>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</si>
  <si>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</si>
  <si>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</si>
  <si>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</si>
  <si>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</si>
  <si>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</si>
  <si>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</si>
  <si>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</si>
  <si>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</si>
  <si>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</si>
  <si>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</si>
  <si>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</si>
  <si>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</si>
  <si>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</si>
  <si>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</si>
  <si>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</si>
  <si>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</si>
  <si>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</si>
  <si>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</si>
  <si>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</si>
  <si>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</si>
  <si>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</si>
  <si>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</si>
  <si>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</si>
  <si>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</si>
  <si>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</si>
  <si>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</si>
  <si>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</si>
  <si>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</si>
  <si>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</si>
  <si>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</si>
  <si>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</si>
  <si>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</si>
  <si>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</si>
  <si>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</si>
  <si>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</si>
  <si>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</si>
  <si>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</si>
  <si>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</si>
  <si>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</si>
  <si>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</si>
  <si>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</si>
  <si>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</si>
  <si>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</si>
  <si>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</si>
  <si>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</si>
  <si>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</si>
  <si>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</si>
  <si>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</si>
  <si>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</si>
  <si>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</si>
  <si>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</si>
  <si>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</si>
  <si>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</si>
  <si>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</si>
  <si>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</si>
  <si>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</si>
  <si>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</si>
  <si>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</si>
  <si>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</si>
  <si>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</si>
  <si>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</si>
  <si>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</si>
  <si>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</si>
  <si>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</si>
  <si>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</si>
  <si>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</si>
  <si>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</si>
  <si>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</si>
  <si>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</si>
  <si>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</si>
  <si>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</si>
  <si>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</si>
  <si>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</si>
  <si>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</si>
  <si>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</si>
  <si>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</si>
  <si>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</si>
  <si>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</si>
  <si>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</si>
  <si>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</si>
  <si>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</si>
  <si>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</si>
  <si>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</si>
  <si>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</si>
  <si>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</si>
  <si>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</si>
  <si>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</si>
  <si>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</si>
  <si>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</si>
  <si>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</si>
  <si>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</si>
  <si>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</si>
  <si>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</si>
  <si>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</si>
  <si>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</si>
  <si>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</si>
  <si>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</si>
  <si>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</si>
  <si>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</si>
  <si>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</si>
  <si>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</si>
  <si>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</si>
  <si>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</si>
  <si>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</si>
  <si>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</si>
  <si>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</si>
  <si>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</si>
  <si>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</si>
  <si>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</si>
  <si>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</si>
  <si>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</si>
  <si>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</si>
  <si>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</si>
  <si>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</si>
  <si>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</si>
  <si>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</si>
  <si>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</si>
  <si>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</si>
  <si>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</si>
  <si>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</si>
  <si>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</si>
  <si>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</si>
  <si>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</si>
  <si>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</si>
  <si>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</si>
  <si>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</si>
  <si>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</si>
  <si>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</si>
  <si>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</si>
  <si>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</si>
  <si>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</si>
  <si>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</si>
  <si>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</si>
  <si>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</si>
  <si>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</si>
  <si>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</si>
  <si>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</si>
  <si>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</si>
  <si>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</si>
  <si>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</si>
  <si>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</si>
  <si>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</si>
  <si>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</si>
  <si>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</si>
  <si>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</si>
  <si>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</si>
  <si>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</si>
  <si>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</si>
  <si>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</si>
  <si>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</si>
  <si>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</si>
  <si>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</si>
  <si>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</si>
  <si>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</si>
  <si>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</si>
  <si>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</si>
  <si>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</si>
  <si>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</si>
  <si>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</si>
  <si>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</si>
  <si>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</si>
  <si>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</si>
  <si>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</si>
  <si>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</si>
  <si>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</si>
  <si>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</si>
  <si>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</si>
  <si>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</si>
  <si>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</si>
  <si>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</si>
  <si>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</si>
  <si>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</si>
  <si>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</si>
  <si>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</si>
  <si>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</si>
  <si>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</si>
  <si>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</si>
  <si>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</si>
  <si>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</si>
  <si>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</si>
  <si>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</si>
  <si>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</si>
  <si>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</si>
  <si>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</si>
  <si>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</si>
  <si>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</si>
  <si>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</si>
  <si>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</si>
  <si>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</si>
  <si>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</si>
  <si>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</si>
  <si>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</si>
  <si>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</si>
  <si>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</si>
  <si>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</si>
  <si>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</si>
  <si>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</si>
  <si>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</si>
  <si>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</si>
  <si>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</si>
  <si>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</si>
  <si>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</si>
  <si>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</si>
  <si>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</si>
  <si>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</si>
  <si>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</si>
  <si>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</si>
  <si>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</si>
  <si>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</si>
  <si>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</si>
  <si>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</si>
  <si>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</si>
  <si>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</si>
  <si>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</si>
  <si>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</si>
  <si>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</si>
  <si>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</si>
  <si>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</si>
  <si>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</si>
  <si>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</si>
  <si>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</si>
  <si>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</si>
  <si>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</si>
  <si>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</si>
  <si>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</si>
  <si>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</si>
  <si>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</si>
  <si>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</si>
  <si>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</si>
  <si>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</si>
  <si>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</si>
  <si>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</si>
  <si>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</si>
  <si>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</si>
  <si>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</si>
  <si>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</si>
  <si>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</si>
  <si>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</si>
  <si>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</si>
  <si>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</si>
  <si>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</si>
  <si>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</si>
  <si>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</si>
  <si>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</si>
  <si>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</si>
  <si>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</si>
  <si>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</si>
  <si>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</si>
  <si>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</si>
  <si>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</si>
  <si>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</si>
  <si>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</si>
  <si>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</si>
  <si>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</si>
  <si>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</si>
  <si>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</si>
  <si>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</si>
  <si>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</si>
  <si>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</si>
  <si>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</si>
  <si>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</si>
  <si>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</si>
  <si>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</si>
  <si>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</si>
  <si>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</si>
  <si>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</si>
  <si>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</si>
  <si>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</si>
  <si>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</si>
  <si>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</si>
  <si>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</si>
  <si>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</si>
  <si>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</si>
  <si>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</si>
  <si>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</si>
  <si>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</si>
  <si>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</si>
  <si>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</si>
  <si>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</si>
  <si>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</si>
  <si>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</si>
  <si>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</si>
  <si>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</si>
  <si>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</si>
  <si>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</si>
  <si>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</si>
  <si>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</si>
  <si>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</si>
  <si>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</si>
  <si>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</si>
  <si>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</si>
  <si>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</si>
  <si>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</si>
  <si>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</si>
  <si>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</si>
  <si>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</si>
  <si>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</si>
  <si>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</si>
  <si>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</si>
  <si>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</si>
  <si>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</si>
  <si>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</si>
  <si>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</si>
  <si>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</si>
  <si>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</si>
  <si>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</si>
  <si>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</si>
  <si>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</si>
  <si>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</si>
  <si>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</si>
  <si>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</si>
  <si>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</si>
  <si>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</si>
  <si>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</si>
  <si>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</si>
  <si>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</si>
  <si>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</si>
  <si>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</si>
  <si>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</si>
  <si>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</si>
  <si>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</si>
  <si>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</si>
  <si>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</si>
  <si>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</si>
  <si>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</si>
  <si>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</si>
  <si>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</si>
  <si>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</si>
  <si>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</si>
  <si>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</si>
  <si>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</si>
  <si>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</si>
  <si>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</si>
  <si>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</si>
  <si>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</si>
  <si>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</si>
  <si>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</si>
  <si>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</si>
  <si>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</si>
  <si>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</si>
  <si>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</si>
  <si>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</si>
  <si>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</si>
  <si>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</si>
  <si>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</si>
  <si>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</si>
  <si>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</si>
  <si>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</si>
  <si>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</si>
  <si>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</si>
  <si>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</si>
  <si>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</si>
  <si>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</si>
  <si>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</si>
  <si>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</si>
  <si>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</si>
  <si>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</si>
  <si>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</si>
  <si>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</si>
  <si>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</si>
  <si>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</si>
  <si>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</si>
  <si>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</si>
  <si>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</si>
  <si>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</si>
  <si>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</si>
  <si>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</si>
  <si>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</si>
  <si>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</si>
  <si>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</si>
  <si>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</si>
  <si>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</si>
  <si>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</si>
  <si>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</si>
  <si>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</si>
  <si>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</si>
  <si>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</si>
  <si>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</si>
  <si>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</si>
  <si>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</si>
  <si>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</si>
  <si>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</si>
  <si>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</si>
  <si>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</si>
  <si>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</si>
  <si>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</si>
  <si>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</si>
  <si>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</si>
  <si>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</si>
  <si>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</si>
  <si>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</si>
  <si>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</si>
  <si>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</si>
  <si>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</si>
  <si>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</si>
  <si>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</si>
  <si>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</si>
  <si>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</si>
  <si>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</si>
  <si>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</si>
  <si>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</si>
  <si>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</si>
  <si>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</si>
  <si>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</si>
  <si>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</si>
  <si>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</si>
  <si>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</si>
  <si>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</si>
  <si>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</si>
  <si>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</si>
  <si>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</si>
  <si>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</si>
  <si>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</si>
  <si>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</si>
  <si>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</si>
  <si>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</si>
  <si>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</si>
  <si>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</si>
  <si>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</si>
  <si>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</si>
  <si>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</si>
  <si>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</si>
  <si>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</si>
  <si>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</si>
  <si>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</si>
  <si>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</si>
  <si>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</si>
  <si>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</si>
  <si>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</si>
  <si>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</si>
  <si>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</si>
  <si>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</si>
  <si>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</si>
  <si>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</si>
  <si>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</si>
  <si>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</si>
  <si>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</si>
  <si>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</si>
  <si>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</si>
  <si>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</si>
  <si>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</si>
  <si>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</si>
  <si>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</si>
  <si>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</si>
  <si>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</si>
  <si>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</si>
  <si>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</si>
  <si>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</si>
  <si>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</si>
  <si>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</si>
  <si>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</si>
  <si>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</si>
  <si>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</si>
  <si>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</si>
  <si>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</si>
  <si>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</si>
  <si>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</si>
  <si>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</si>
  <si>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</si>
  <si>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</si>
  <si>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</si>
  <si>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</si>
  <si>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</si>
  <si>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</si>
  <si>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</si>
  <si>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</si>
  <si>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</si>
  <si>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</si>
  <si>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</si>
  <si>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</si>
  <si>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</si>
  <si>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</si>
  <si>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</si>
  <si>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</si>
  <si>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</si>
  <si>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</si>
  <si>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</si>
  <si>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</si>
  <si>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</si>
  <si>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</si>
  <si>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</si>
  <si>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</si>
  <si>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</si>
  <si>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</si>
  <si>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</si>
  <si>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</si>
  <si>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</si>
  <si>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</si>
  <si>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</si>
  <si>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</si>
  <si>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</si>
  <si>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</si>
  <si>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</si>
  <si>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</si>
  <si>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</si>
  <si>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</si>
  <si>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</si>
  <si>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</si>
  <si>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</si>
  <si>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</si>
  <si>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</si>
  <si>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</si>
  <si>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</si>
  <si>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</si>
  <si>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</si>
  <si>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</si>
  <si>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</si>
  <si>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</si>
  <si>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</si>
  <si>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</si>
  <si>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</si>
  <si>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</si>
  <si>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</si>
  <si>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</si>
  <si>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</si>
  <si>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</si>
  <si>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</si>
  <si>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</si>
  <si>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</si>
  <si>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</si>
  <si>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</si>
  <si>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</si>
  <si>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</si>
  <si>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</si>
  <si>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</si>
  <si>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</si>
  <si>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</si>
  <si>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</si>
  <si>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</si>
  <si>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</si>
  <si>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</si>
  <si>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</si>
  <si>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</si>
  <si>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</si>
  <si>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</si>
  <si>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</si>
  <si>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</si>
  <si>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</si>
  <si>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</si>
  <si>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</si>
  <si>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</si>
  <si>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</si>
  <si>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</si>
  <si>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</si>
  <si>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</si>
  <si>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</si>
  <si>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</si>
  <si>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</si>
  <si>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</si>
  <si>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</si>
  <si>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</si>
  <si>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</si>
  <si>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</si>
  <si>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</si>
  <si>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</si>
  <si>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</si>
  <si>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</si>
  <si>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</si>
  <si>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</si>
  <si>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</si>
  <si>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</si>
  <si>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</si>
  <si>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</si>
  <si>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</si>
  <si>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</si>
  <si>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</si>
  <si>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</si>
  <si>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</si>
  <si>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</si>
  <si>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</si>
  <si>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</si>
  <si>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</si>
  <si>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</si>
  <si>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</si>
  <si>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</si>
  <si>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</si>
  <si>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</si>
  <si>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</si>
  <si>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</si>
  <si>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</si>
  <si>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</si>
  <si>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</si>
  <si>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</si>
  <si>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</si>
  <si>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</si>
  <si>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</si>
  <si>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</si>
  <si>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</si>
  <si>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</si>
  <si>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</si>
  <si>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</si>
  <si>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</si>
  <si>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</si>
  <si>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</si>
  <si>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</si>
  <si>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</si>
  <si>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</si>
  <si>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</si>
  <si>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</si>
  <si>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</si>
  <si>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</si>
  <si>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</si>
  <si>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</si>
  <si>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</si>
  <si>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</si>
  <si>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</si>
  <si>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</si>
  <si>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</si>
  <si>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</si>
  <si>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</si>
  <si>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</si>
  <si>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</si>
  <si>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</si>
  <si>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</si>
  <si>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</si>
  <si>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</si>
  <si>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</si>
  <si>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</si>
  <si>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</si>
  <si>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</si>
  <si>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</si>
  <si>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</si>
  <si>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</si>
  <si>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</si>
  <si>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</si>
  <si>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</si>
  <si>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</si>
  <si>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</si>
  <si>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</si>
  <si>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</si>
  <si>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</si>
  <si>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</si>
  <si>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</si>
  <si>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</si>
  <si>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</si>
  <si>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</si>
  <si>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</si>
  <si>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</si>
  <si>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</si>
  <si>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</si>
  <si>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</si>
  <si>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</si>
  <si>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</si>
  <si>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</si>
  <si>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</si>
  <si>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</si>
  <si>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</si>
  <si>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</si>
  <si>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</si>
  <si>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</si>
  <si>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</si>
  <si>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</si>
  <si>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</si>
  <si>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</si>
  <si>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</si>
  <si>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</si>
  <si>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</si>
  <si>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</si>
  <si>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</si>
  <si>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</si>
  <si>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</si>
  <si>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</si>
  <si>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</si>
  <si>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</si>
  <si>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</si>
  <si>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</si>
  <si>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</si>
  <si>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</si>
  <si>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</si>
  <si>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</si>
  <si>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</si>
  <si>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</si>
  <si>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</si>
  <si>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</si>
  <si>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</si>
  <si>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</si>
  <si>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</si>
  <si>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</si>
  <si>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</si>
  <si>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</si>
  <si>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</si>
  <si>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</si>
  <si>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</si>
  <si>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</si>
  <si>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</si>
  <si>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</si>
  <si>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</si>
  <si>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</si>
  <si>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</si>
  <si>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</si>
  <si>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</si>
  <si>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</si>
  <si>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</si>
  <si>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</si>
  <si>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</si>
  <si>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</si>
  <si>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</si>
  <si>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</si>
  <si>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</si>
  <si>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</si>
  <si>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</si>
  <si>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</si>
  <si>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</si>
  <si>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</si>
  <si>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</si>
  <si>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</si>
  <si>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</si>
  <si>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</si>
  <si>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</si>
  <si>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</si>
  <si>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</si>
  <si>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</si>
  <si>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</si>
  <si>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</si>
  <si>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</si>
  <si>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</si>
  <si>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</si>
  <si>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</si>
  <si>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</si>
  <si>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</si>
  <si>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</si>
  <si>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</si>
  <si>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</si>
  <si>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</si>
  <si>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</si>
  <si>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</si>
  <si>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</si>
  <si>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</si>
  <si>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</si>
  <si>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</si>
  <si>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</si>
  <si>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</si>
  <si>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</si>
  <si>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</si>
  <si>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</si>
  <si>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</si>
  <si>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</si>
  <si>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</si>
  <si>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</si>
  <si>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</si>
  <si>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</si>
  <si>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</si>
  <si>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</si>
  <si>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</si>
  <si>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</si>
  <si>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</si>
  <si>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</si>
  <si>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</si>
  <si>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</si>
  <si>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</si>
  <si>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</si>
  <si>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</si>
  <si>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</si>
  <si>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</si>
  <si>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</si>
  <si>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</si>
  <si>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</si>
  <si>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</si>
  <si>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</si>
  <si>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</si>
  <si>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</si>
  <si>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</si>
  <si>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</si>
  <si>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</si>
  <si>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</si>
  <si>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</si>
  <si>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</si>
  <si>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</si>
  <si>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</si>
  <si>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</si>
  <si>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</si>
  <si>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</si>
  <si>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</si>
  <si>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</si>
  <si>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</si>
  <si>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</si>
  <si>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</si>
  <si>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</si>
  <si>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</si>
  <si>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</si>
  <si>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</si>
  <si>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</si>
  <si>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</si>
  <si>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</si>
  <si>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</si>
  <si>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</si>
  <si>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</si>
  <si>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</si>
  <si>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</si>
  <si>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</si>
  <si>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</si>
  <si>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</si>
  <si>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</si>
  <si>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</si>
  <si>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</si>
  <si>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</si>
  <si>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</si>
  <si>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</si>
  <si>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</si>
  <si>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</si>
  <si>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</si>
  <si>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</si>
  <si>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</si>
  <si>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</si>
  <si>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</si>
  <si>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</si>
  <si>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</si>
  <si>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</si>
  <si>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</si>
  <si>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</si>
  <si>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</si>
  <si>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</si>
  <si>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</si>
  <si>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</si>
  <si>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</si>
  <si>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</si>
  <si>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</si>
  <si>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</si>
  <si>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</si>
  <si>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</si>
  <si>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</si>
  <si>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</si>
  <si>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</si>
  <si>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</si>
  <si>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</si>
  <si>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</si>
  <si>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</si>
  <si>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</si>
  <si>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</si>
  <si>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</si>
  <si>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</si>
  <si>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</si>
  <si>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</si>
  <si>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</si>
  <si>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</si>
  <si>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</si>
  <si>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</si>
  <si>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</si>
  <si>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</si>
  <si>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</si>
  <si>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</si>
  <si>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</si>
  <si>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</si>
  <si>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</si>
  <si>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</si>
  <si>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</si>
  <si>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</si>
  <si>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</si>
  <si>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</si>
  <si>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</si>
  <si>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</si>
  <si>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</si>
  <si>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</si>
  <si>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</si>
  <si>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</si>
  <si>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</si>
  <si>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</si>
  <si>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</si>
  <si>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</si>
  <si>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</si>
  <si>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</si>
  <si>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</si>
  <si>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</si>
  <si>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</si>
  <si>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</si>
  <si>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</si>
  <si>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</si>
  <si>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</si>
  <si>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</si>
  <si>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</si>
  <si>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</si>
  <si>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</si>
  <si>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</si>
  <si>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</si>
  <si>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</si>
  <si>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</si>
  <si>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</si>
  <si>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</si>
  <si>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</si>
  <si>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</si>
  <si>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</si>
  <si>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</si>
  <si>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</si>
  <si>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</si>
  <si>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</si>
  <si>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</si>
  <si>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</si>
  <si>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</si>
  <si>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</si>
  <si>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</si>
  <si>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</si>
  <si>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</si>
  <si>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</si>
  <si>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</si>
  <si>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</si>
  <si>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</si>
  <si>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</si>
  <si>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</si>
  <si>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</si>
  <si>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</si>
  <si>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</si>
  <si>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</si>
  <si>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</si>
  <si>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</si>
  <si>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</si>
  <si>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</si>
  <si>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</si>
  <si>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</si>
  <si>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</si>
  <si>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</si>
  <si>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</si>
  <si>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</si>
  <si>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</si>
  <si>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</si>
  <si>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</si>
  <si>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</si>
  <si>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</si>
  <si>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</si>
  <si>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</si>
  <si>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</si>
  <si>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</si>
  <si>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</si>
  <si>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</si>
  <si>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</si>
  <si>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</si>
  <si>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</si>
  <si>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</si>
  <si>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</si>
  <si>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</si>
  <si>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</si>
  <si>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</si>
  <si>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</si>
  <si>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</si>
  <si>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</si>
  <si>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</si>
  <si>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</si>
  <si>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</si>
  <si>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</si>
  <si>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</si>
  <si>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</si>
  <si>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</si>
  <si>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</si>
  <si>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</si>
  <si>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</si>
  <si>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</si>
  <si>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</si>
  <si>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</si>
  <si>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</si>
  <si>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</si>
  <si>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</si>
  <si>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</si>
  <si>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</si>
  <si>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</si>
  <si>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</si>
  <si>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</si>
  <si>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</si>
  <si>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</si>
  <si>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</si>
  <si>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</si>
  <si>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</si>
  <si>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</si>
  <si>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</si>
  <si>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</si>
  <si>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</si>
  <si>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</si>
  <si>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</si>
  <si>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</si>
  <si>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</si>
  <si>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</si>
  <si>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</si>
  <si>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</si>
  <si>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</si>
  <si>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</si>
  <si>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</si>
  <si>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</si>
  <si>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</si>
  <si>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</si>
  <si>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</si>
  <si>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</si>
  <si>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</si>
  <si>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</si>
  <si>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</si>
  <si>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</si>
  <si>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</si>
  <si>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</si>
  <si>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</si>
  <si>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</si>
  <si>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</si>
  <si>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</si>
  <si>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</si>
  <si>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</si>
  <si>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</si>
  <si>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</si>
  <si>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</si>
  <si>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</si>
  <si>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</si>
  <si>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</si>
  <si>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</si>
  <si>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</si>
  <si>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</si>
  <si>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</si>
  <si>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</si>
  <si>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</si>
  <si>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</si>
  <si>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</si>
  <si>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</si>
  <si>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</si>
  <si>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</si>
  <si>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</si>
  <si>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</si>
  <si>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</si>
  <si>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</si>
  <si>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</si>
  <si>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</si>
  <si>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</si>
  <si>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</si>
  <si>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</si>
  <si>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</si>
  <si>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</si>
  <si>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</si>
  <si>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</si>
  <si>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</si>
  <si>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</si>
  <si>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</si>
  <si>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</si>
  <si>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</si>
  <si>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</si>
  <si>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</si>
  <si>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</si>
  <si>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</si>
  <si>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</si>
  <si>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</si>
  <si>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</si>
  <si>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</si>
  <si>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</si>
  <si>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</si>
  <si>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</si>
  <si>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</si>
  <si>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</si>
  <si>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</si>
  <si>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</si>
  <si>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</si>
  <si>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</si>
  <si>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</si>
  <si>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</si>
  <si>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</si>
  <si>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</si>
  <si>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</si>
  <si>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</si>
  <si>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</si>
  <si>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</si>
  <si>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</si>
  <si>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</si>
  <si>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</si>
  <si>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</si>
  <si>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</si>
  <si>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</si>
  <si>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</si>
  <si>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</si>
  <si>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</si>
  <si>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</si>
  <si>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</si>
  <si>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</si>
  <si>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</si>
  <si>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</si>
  <si>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</si>
  <si>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</si>
  <si>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</si>
  <si>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</si>
  <si>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</si>
  <si>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</si>
  <si>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</si>
  <si>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</si>
  <si>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</si>
  <si>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</si>
  <si>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</si>
  <si>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</si>
  <si>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</si>
  <si>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</si>
  <si>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</si>
  <si>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</si>
  <si>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</si>
  <si>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</si>
  <si>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</si>
  <si>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</si>
  <si>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</si>
  <si>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</si>
  <si>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</si>
  <si>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</si>
  <si>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</si>
  <si>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</si>
  <si>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</si>
  <si>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</si>
  <si>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</si>
  <si>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</si>
  <si>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</si>
  <si>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</si>
  <si>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</si>
  <si>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</si>
  <si>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</si>
  <si>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</si>
  <si>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</si>
  <si>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</si>
  <si>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</si>
  <si>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</si>
  <si>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</si>
  <si>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</si>
  <si>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</si>
  <si>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</si>
  <si>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</si>
  <si>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</si>
  <si>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</si>
  <si>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</si>
  <si>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</si>
  <si>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</si>
  <si>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</si>
  <si>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</si>
  <si>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</si>
  <si>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</si>
  <si>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</si>
  <si>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</si>
  <si>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</si>
  <si>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</si>
  <si>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</si>
  <si>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</si>
  <si>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</si>
  <si>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</si>
  <si>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</si>
  <si>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</si>
  <si>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</si>
  <si>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</si>
  <si>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</si>
  <si>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</si>
  <si>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</si>
  <si>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</si>
  <si>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</si>
  <si>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</si>
  <si>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</si>
  <si>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</si>
  <si>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</si>
  <si>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</si>
  <si>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</si>
  <si>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</si>
  <si>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</si>
  <si>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</si>
  <si>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</si>
  <si>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</si>
  <si>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</si>
  <si>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</si>
  <si>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</si>
  <si>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</si>
  <si>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</si>
  <si>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</si>
  <si>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</si>
  <si>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</si>
  <si>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</si>
  <si>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</si>
  <si>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</si>
  <si>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</si>
  <si>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</si>
  <si>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</si>
  <si>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</si>
  <si>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</si>
  <si>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</si>
  <si>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</si>
  <si>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</si>
  <si>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</si>
  <si>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</si>
  <si>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</si>
  <si>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</si>
  <si>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</si>
  <si>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</si>
  <si>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</si>
  <si>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</si>
  <si>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</si>
  <si>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</si>
  <si>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</si>
  <si>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</si>
  <si>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</si>
  <si>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</si>
  <si>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</si>
  <si>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</si>
  <si>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</si>
  <si>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</si>
  <si>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</si>
  <si>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</si>
  <si>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</si>
  <si>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</si>
  <si>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</si>
  <si>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</si>
  <si>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</si>
  <si>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</si>
  <si>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</si>
  <si>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</si>
  <si>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</si>
  <si>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</si>
  <si>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</si>
  <si>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</si>
  <si>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</si>
  <si>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</si>
  <si>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</si>
  <si>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</si>
  <si>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</si>
  <si>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</si>
  <si>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</si>
  <si>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</si>
  <si>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</si>
  <si>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</si>
  <si>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</si>
  <si>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</si>
  <si>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</si>
  <si>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</si>
  <si>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</si>
  <si>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</si>
  <si>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</si>
  <si>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</si>
  <si>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</si>
  <si>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</si>
  <si>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</si>
  <si>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</si>
  <si>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</si>
  <si>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</si>
  <si>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</si>
  <si>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</si>
  <si>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</si>
  <si>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</si>
  <si>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</si>
  <si>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</si>
  <si>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</si>
  <si>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</si>
  <si>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</si>
  <si>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</si>
  <si>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</si>
  <si>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</si>
  <si>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</si>
  <si>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</si>
  <si>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</si>
  <si>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</si>
  <si>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</si>
  <si>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</si>
  <si>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</si>
  <si>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</si>
  <si>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</si>
  <si>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</si>
  <si>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</si>
  <si>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</si>
  <si>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</si>
  <si>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</si>
  <si>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</si>
  <si>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</si>
  <si>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</si>
  <si>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</si>
  <si>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</si>
  <si>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</si>
  <si>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</si>
  <si>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</si>
  <si>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</si>
  <si>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</si>
  <si>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</si>
  <si>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</si>
  <si>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</si>
  <si>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</si>
  <si>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</si>
  <si>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</si>
  <si>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</si>
  <si>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</si>
  <si>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</si>
  <si>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</si>
  <si>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</si>
  <si>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</si>
  <si>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</si>
  <si>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</si>
  <si>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</si>
  <si>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</si>
  <si>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</si>
  <si>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</si>
  <si>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</si>
  <si>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</si>
  <si>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</si>
  <si>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</si>
  <si>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</si>
  <si>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</si>
  <si>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</si>
  <si>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</si>
  <si>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</si>
  <si>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</si>
  <si>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</si>
  <si>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</si>
  <si>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</si>
  <si>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</si>
  <si>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</si>
  <si>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</si>
  <si>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</si>
  <si>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</si>
  <si>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</si>
  <si>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</si>
  <si>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</si>
  <si>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</si>
  <si>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</si>
  <si>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</si>
  <si>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</si>
  <si>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</si>
  <si>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</si>
  <si>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</si>
  <si>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</si>
  <si>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</si>
  <si>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</si>
  <si>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</si>
  <si>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</si>
  <si>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</si>
  <si>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</si>
  <si>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</si>
  <si>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</si>
  <si>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</si>
  <si>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</si>
  <si>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</si>
  <si>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</si>
  <si>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</si>
  <si>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</si>
  <si>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</si>
  <si>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</si>
  <si>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</si>
  <si>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</si>
  <si>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</si>
  <si>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</si>
  <si>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</si>
  <si>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</si>
  <si>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</si>
  <si>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</si>
  <si>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</si>
  <si>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</si>
  <si>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</si>
  <si>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</si>
  <si>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</si>
  <si>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</si>
  <si>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</si>
  <si>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</si>
  <si>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</si>
  <si>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</si>
  <si>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</si>
  <si>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</si>
  <si>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</si>
  <si>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</si>
  <si>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</si>
  <si>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</si>
  <si>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</si>
  <si>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</si>
  <si>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</si>
  <si>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</si>
  <si>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</si>
  <si>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</si>
  <si>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</si>
  <si>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</si>
  <si>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</si>
  <si>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</si>
  <si>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</si>
  <si>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</si>
  <si>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</si>
  <si>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</si>
  <si>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</si>
  <si>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</si>
  <si>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</si>
  <si>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</si>
  <si>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</si>
  <si>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</si>
  <si>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</si>
  <si>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</si>
  <si>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</si>
  <si>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</si>
  <si>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</si>
  <si>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</si>
  <si>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</si>
  <si>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</si>
  <si>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</si>
  <si>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</si>
  <si>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</si>
  <si>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</si>
  <si>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</si>
  <si>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</si>
  <si>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</si>
  <si>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</si>
  <si>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</si>
  <si>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</si>
  <si>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</si>
  <si>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</si>
  <si>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</si>
  <si>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</si>
  <si>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</si>
  <si>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</si>
  <si>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</si>
  <si>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</si>
  <si>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</si>
  <si>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</si>
  <si>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</si>
  <si>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</si>
  <si>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</si>
  <si>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</si>
  <si>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</si>
  <si>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</si>
  <si>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</si>
  <si>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</si>
  <si>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</si>
  <si>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</si>
  <si>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</si>
  <si>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</si>
  <si>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</si>
  <si>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</si>
  <si>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</si>
  <si>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</si>
  <si>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</si>
  <si>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</si>
  <si>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</si>
  <si>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</si>
  <si>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</si>
  <si>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</si>
  <si>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</si>
  <si>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</si>
  <si>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</si>
  <si>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</si>
  <si>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</si>
  <si>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</si>
  <si>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</si>
  <si>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</si>
  <si>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</si>
  <si>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</si>
  <si>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</si>
  <si>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</si>
  <si>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</si>
  <si>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</si>
  <si>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</si>
  <si>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</si>
  <si>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</si>
  <si>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</si>
  <si>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</si>
  <si>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</si>
  <si>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</si>
  <si>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</si>
  <si>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</si>
  <si>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</si>
  <si>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</si>
  <si>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</si>
  <si>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</si>
  <si>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</si>
  <si>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</si>
  <si>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</si>
  <si>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</si>
  <si>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</si>
  <si>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</si>
  <si>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</si>
  <si>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</si>
  <si>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</si>
  <si>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</si>
  <si>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</si>
  <si>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</si>
  <si>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</si>
  <si>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</si>
  <si>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</si>
  <si>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</si>
  <si>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</si>
  <si>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</si>
  <si>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</si>
  <si>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</si>
  <si>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</si>
  <si>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</si>
  <si>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</si>
  <si>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</si>
  <si>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</si>
  <si>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</si>
  <si>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</si>
  <si>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</si>
  <si>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</si>
  <si>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</si>
  <si>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</si>
  <si>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</si>
  <si>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</si>
  <si>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</si>
  <si>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</si>
  <si>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</si>
  <si>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</si>
  <si>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</si>
  <si>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</si>
  <si>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</si>
  <si>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</si>
  <si>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</si>
  <si>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</si>
  <si>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</si>
  <si>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</si>
  <si>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</si>
  <si>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</si>
  <si>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</si>
  <si>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</si>
  <si>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</si>
  <si>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</si>
  <si>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</si>
  <si>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</si>
  <si>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</si>
  <si>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</si>
  <si>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</si>
  <si>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</si>
  <si>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</si>
  <si>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</si>
  <si>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</si>
  <si>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</si>
  <si>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</si>
  <si>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</si>
  <si>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</si>
  <si>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</si>
  <si>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</si>
  <si>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</si>
  <si>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</si>
  <si>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</si>
  <si>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</si>
  <si>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</si>
  <si>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</si>
  <si>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</si>
  <si>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</si>
  <si>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</si>
  <si>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</si>
  <si>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</si>
  <si>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</si>
  <si>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</si>
  <si>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</si>
  <si>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</si>
  <si>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</si>
  <si>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</si>
  <si>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</si>
  <si>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</si>
  <si>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</si>
  <si>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</si>
  <si>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</si>
  <si>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</si>
  <si>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</si>
  <si>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</si>
  <si>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</si>
  <si>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</si>
  <si>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</si>
  <si>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</si>
  <si>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</si>
  <si>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</si>
  <si>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</si>
  <si>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</si>
  <si>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</si>
  <si>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</si>
  <si>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</si>
  <si>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</si>
  <si>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</si>
  <si>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</si>
  <si>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</si>
  <si>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</si>
  <si>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</si>
  <si>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</si>
  <si>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</si>
  <si>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</si>
  <si>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</si>
  <si>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</si>
  <si>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</si>
  <si>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</si>
  <si>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</si>
  <si>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</si>
  <si>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</si>
  <si>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</si>
  <si>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</si>
  <si>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</si>
  <si>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</si>
  <si>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</si>
  <si>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</si>
  <si>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</si>
  <si>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</si>
  <si>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</si>
  <si>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</si>
  <si>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</si>
  <si>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</si>
  <si>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</si>
  <si>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</si>
  <si>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</si>
  <si>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</si>
  <si>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</si>
  <si>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</si>
  <si>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</si>
  <si>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</si>
  <si>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</si>
  <si>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</si>
  <si>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</si>
  <si>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</si>
  <si>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</si>
  <si>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</si>
  <si>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</si>
  <si>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</si>
  <si>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</si>
  <si>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</si>
  <si>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</si>
  <si>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</si>
  <si>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</si>
  <si>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</si>
  <si>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</si>
  <si>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</si>
  <si>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</si>
  <si>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</si>
  <si>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</si>
  <si>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</si>
  <si>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</si>
  <si>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</si>
  <si>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</si>
  <si>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</si>
  <si>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</si>
  <si>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</si>
  <si>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</si>
  <si>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</si>
  <si>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</si>
  <si>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</si>
  <si>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</si>
  <si>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</si>
  <si>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</si>
  <si>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</si>
  <si>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</si>
  <si>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</si>
  <si>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</si>
  <si>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</si>
  <si>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</si>
  <si>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</si>
  <si>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</si>
  <si>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</si>
  <si>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</si>
  <si>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</si>
  <si>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</si>
  <si>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</si>
  <si>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</si>
  <si>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</si>
  <si>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</si>
  <si>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</si>
  <si>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</si>
  <si>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</si>
  <si>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</si>
  <si>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</si>
  <si>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</si>
  <si>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</si>
  <si>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</si>
  <si>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</si>
  <si>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</si>
  <si>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</si>
  <si>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</si>
  <si>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</si>
  <si>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</si>
  <si>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</si>
  <si>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</si>
  <si>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</si>
  <si>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</si>
  <si>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</si>
  <si>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</si>
  <si>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</si>
  <si>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</si>
  <si>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</si>
  <si>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</si>
  <si>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</si>
  <si>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</si>
  <si>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</si>
  <si>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</si>
  <si>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</si>
  <si>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</si>
  <si>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</si>
  <si>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</si>
  <si>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</si>
  <si>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</si>
  <si>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</si>
  <si>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</si>
  <si>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</si>
  <si>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</si>
  <si>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</si>
  <si>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</si>
  <si>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</si>
  <si>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</si>
  <si>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</si>
  <si>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</si>
  <si>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</si>
  <si>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</si>
  <si>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</si>
  <si>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</si>
  <si>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</si>
  <si>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</si>
  <si>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</si>
  <si>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</si>
  <si>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</si>
  <si>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</si>
  <si>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</si>
  <si>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</si>
  <si>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</si>
  <si>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</si>
  <si>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</si>
  <si>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</si>
  <si>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</si>
  <si>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</si>
  <si>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</si>
  <si>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</si>
  <si>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</si>
  <si>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</si>
  <si>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</si>
  <si>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</si>
  <si>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</si>
  <si>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</si>
  <si>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</si>
  <si>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</si>
  <si>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</si>
  <si>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</si>
  <si>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</si>
  <si>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</si>
  <si>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</si>
  <si>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</si>
  <si>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</si>
  <si>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</si>
  <si>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</si>
  <si>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</si>
  <si>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</si>
  <si>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</si>
  <si>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</si>
  <si>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</si>
  <si>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</si>
  <si>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</si>
  <si>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</si>
  <si>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</si>
  <si>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</si>
  <si>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</si>
  <si>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</si>
  <si>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</si>
  <si>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</si>
  <si>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</si>
  <si>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</si>
  <si>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</si>
  <si>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</si>
  <si>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</si>
  <si>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</si>
  <si>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</si>
  <si>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</si>
  <si>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</si>
  <si>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</si>
  <si>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</si>
  <si>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</si>
  <si>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</si>
  <si>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</si>
  <si>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</si>
  <si>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</si>
  <si>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</si>
  <si>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</si>
  <si>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</si>
  <si>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</si>
  <si>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</si>
  <si>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</si>
  <si>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</si>
  <si>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</si>
  <si>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</si>
  <si>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</si>
  <si>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</si>
  <si>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</si>
  <si>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</si>
  <si>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</si>
  <si>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</si>
  <si>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</si>
  <si>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</si>
  <si>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</si>
  <si>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</si>
  <si>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</si>
  <si>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</si>
  <si>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</si>
  <si>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</si>
  <si>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</si>
  <si>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</si>
  <si>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</si>
  <si>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</si>
  <si>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</si>
  <si>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</si>
  <si>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</si>
  <si>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</si>
  <si>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</si>
  <si>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</si>
  <si>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</si>
  <si>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</si>
  <si>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</si>
  <si>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</si>
  <si>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</si>
  <si>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</si>
  <si>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</si>
  <si>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</si>
  <si>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</si>
  <si>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</si>
  <si>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</si>
  <si>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</si>
  <si>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</si>
  <si>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</si>
  <si>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</si>
  <si>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</si>
  <si>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</si>
  <si>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</si>
  <si>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</si>
  <si>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</si>
  <si>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</si>
  <si>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</si>
  <si>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</si>
  <si>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</si>
  <si>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</si>
  <si>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</si>
  <si>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</si>
  <si>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</si>
  <si>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</si>
  <si>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</si>
  <si>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</si>
  <si>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</si>
  <si>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</si>
  <si>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</si>
  <si>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</si>
  <si>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</si>
  <si>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</si>
  <si>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</si>
  <si>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</si>
  <si>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</si>
  <si>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</si>
  <si>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</si>
  <si>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</si>
  <si>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</si>
  <si>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</si>
  <si>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</si>
  <si>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</si>
  <si>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</si>
  <si>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</si>
  <si>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</si>
  <si>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</si>
  <si>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</si>
  <si>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</si>
  <si>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</si>
  <si>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</si>
  <si>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</si>
  <si>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</si>
  <si>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</si>
  <si>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</si>
  <si>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</si>
  <si>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</si>
  <si>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</si>
  <si>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</si>
  <si>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</si>
  <si>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</si>
  <si>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</si>
  <si>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</si>
  <si>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</si>
  <si>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</si>
  <si>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</si>
  <si>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</si>
  <si>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</si>
  <si>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</si>
  <si>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</si>
  <si>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</si>
  <si>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</si>
  <si>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</si>
  <si>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</si>
  <si>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</si>
  <si>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</si>
  <si>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</si>
  <si>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</si>
  <si>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</si>
  <si>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</si>
  <si>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</si>
  <si>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</si>
  <si>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</si>
  <si>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</si>
  <si>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</si>
  <si>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</si>
  <si>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</si>
  <si>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</si>
  <si>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</si>
  <si>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</si>
  <si>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</si>
  <si>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</si>
  <si>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</si>
  <si>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</si>
  <si>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</si>
  <si>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</si>
  <si>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</si>
  <si>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</si>
  <si>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</si>
  <si>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</si>
  <si>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</si>
  <si>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</si>
  <si>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</si>
  <si>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</si>
  <si>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</si>
  <si>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</si>
  <si>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</si>
  <si>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</si>
  <si>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</si>
  <si>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</si>
  <si>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</si>
  <si>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</si>
  <si>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</si>
  <si>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</si>
  <si>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</si>
  <si>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</si>
  <si>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</si>
  <si>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</si>
  <si>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</si>
  <si>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</si>
  <si>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</si>
  <si>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</si>
  <si>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</si>
  <si>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</si>
  <si>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</si>
  <si>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</si>
  <si>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</si>
  <si>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</si>
  <si>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</si>
  <si>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</si>
  <si>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</si>
  <si>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</si>
  <si>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</si>
  <si>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</si>
  <si>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</si>
  <si>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</si>
  <si>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</si>
  <si>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</si>
  <si>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</si>
  <si>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</si>
  <si>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</si>
  <si>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</si>
  <si>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</si>
  <si>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</si>
  <si>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</si>
  <si>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</si>
  <si>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</si>
  <si>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</si>
  <si>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</si>
  <si>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</si>
  <si>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</si>
  <si>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</si>
  <si>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</si>
  <si>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</si>
  <si>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</si>
  <si>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</si>
  <si>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</si>
  <si>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</si>
  <si>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</si>
  <si>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</si>
  <si>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</si>
  <si>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</si>
  <si>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</si>
  <si>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</si>
  <si>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</si>
  <si>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</si>
  <si>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</si>
  <si>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</si>
  <si>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</si>
  <si>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</si>
  <si>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</si>
  <si>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</si>
  <si>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</si>
  <si>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</si>
  <si>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</si>
  <si>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</si>
  <si>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</si>
  <si>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</si>
  <si>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</si>
  <si>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</si>
  <si>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</si>
  <si>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</si>
  <si>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</si>
  <si>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</si>
  <si>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</si>
  <si>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</si>
  <si>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</si>
  <si>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</si>
  <si>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</si>
  <si>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</si>
  <si>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</si>
  <si>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</si>
  <si>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</si>
  <si>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</si>
  <si>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</si>
  <si>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</si>
  <si>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</si>
  <si>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</si>
  <si>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</si>
  <si>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</si>
  <si>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</si>
  <si>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</si>
  <si>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</si>
  <si>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</si>
  <si>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</si>
  <si>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</si>
  <si>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</si>
  <si>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</si>
  <si>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</si>
  <si>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</si>
  <si>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</si>
  <si>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</si>
  <si>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</si>
  <si>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</si>
  <si>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</si>
  <si>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</si>
  <si>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</si>
  <si>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</si>
  <si>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</si>
  <si>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</si>
  <si>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</si>
  <si>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</si>
  <si>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</si>
  <si>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</si>
  <si>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</si>
  <si>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</si>
  <si>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</si>
  <si>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</si>
  <si>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</si>
  <si>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</si>
  <si>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</si>
  <si>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</si>
  <si>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</si>
  <si>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</si>
  <si>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</si>
  <si>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</si>
  <si>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</si>
  <si>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</si>
  <si>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</si>
  <si>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</si>
  <si>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</si>
  <si>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</si>
  <si>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</si>
  <si>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</si>
  <si>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</si>
  <si>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</si>
  <si>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</si>
  <si>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</si>
  <si>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</si>
  <si>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</si>
  <si>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</si>
  <si>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</si>
  <si>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</si>
  <si>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</si>
  <si>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</si>
  <si>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</si>
  <si>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</si>
  <si>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</si>
  <si>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</si>
  <si>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</si>
  <si>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</si>
  <si>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</si>
  <si>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</si>
  <si>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</si>
  <si>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</si>
  <si>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</si>
  <si>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</si>
  <si>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</si>
  <si>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</si>
  <si>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</si>
  <si>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</si>
  <si>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</si>
  <si>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</si>
  <si>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</si>
  <si>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</si>
  <si>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</si>
  <si>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</si>
  <si>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</si>
  <si>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</si>
  <si>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</si>
  <si>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</si>
  <si>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</si>
  <si>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</si>
  <si>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</si>
  <si>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</si>
  <si>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</si>
  <si>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</si>
  <si>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</si>
  <si>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</si>
  <si>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</si>
  <si>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</si>
  <si>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</si>
  <si>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</si>
  <si>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</si>
  <si>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</si>
  <si>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</si>
  <si>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</si>
  <si>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</si>
  <si>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</si>
  <si>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</si>
  <si>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</si>
  <si>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</si>
  <si>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</si>
  <si>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</si>
  <si>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</si>
  <si>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</si>
  <si>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</si>
  <si>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</si>
  <si>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</si>
  <si>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</si>
  <si>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</si>
  <si>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</si>
  <si>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</si>
  <si>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</si>
  <si>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</si>
  <si>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</si>
  <si>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</si>
  <si>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</si>
  <si>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</si>
  <si>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</si>
  <si>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</si>
  <si>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</si>
  <si>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</si>
  <si>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</si>
  <si>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</si>
  <si>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</si>
  <si>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</si>
  <si>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</si>
  <si>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</si>
  <si>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</si>
  <si>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</si>
  <si>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</si>
  <si>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</si>
  <si>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</si>
  <si>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</si>
  <si>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</si>
  <si>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</si>
  <si>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</si>
  <si>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</si>
  <si>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</si>
  <si>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</si>
  <si>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</si>
  <si>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</si>
  <si>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</si>
  <si>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</si>
  <si>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</si>
  <si>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</si>
  <si>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</si>
  <si>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</si>
  <si>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</si>
  <si>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</si>
  <si>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</si>
  <si>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</si>
  <si>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</si>
  <si>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</si>
  <si>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</si>
  <si>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</si>
  <si>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</si>
  <si>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</si>
  <si>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</si>
  <si>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</si>
  <si>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</si>
  <si>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</si>
  <si>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</si>
  <si>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</si>
  <si>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</si>
  <si>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</si>
  <si>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</si>
  <si>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</si>
  <si>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</si>
  <si>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</si>
  <si>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</si>
  <si>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</si>
  <si>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</si>
  <si>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</si>
  <si>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</si>
  <si>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</si>
  <si>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</si>
  <si>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</si>
  <si>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</si>
  <si>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</si>
  <si>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</si>
  <si>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</si>
  <si>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</si>
  <si>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</si>
  <si>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</si>
  <si>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</si>
  <si>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</si>
  <si>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</si>
  <si>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</si>
  <si>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</si>
  <si>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</si>
  <si>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</si>
  <si>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</si>
  <si>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</si>
  <si>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</si>
  <si>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</si>
  <si>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</si>
  <si>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</si>
  <si>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</si>
  <si>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</si>
  <si>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</si>
  <si>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</si>
  <si>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</si>
  <si>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</si>
  <si>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</si>
  <si>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</si>
  <si>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</si>
  <si>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</si>
  <si>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</si>
  <si>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</si>
  <si>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</si>
  <si>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</si>
  <si>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</si>
  <si>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</si>
  <si>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</si>
  <si>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</si>
  <si>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</si>
  <si>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</si>
  <si>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</si>
  <si>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</si>
  <si>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</si>
  <si>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</si>
  <si>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</si>
  <si>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</si>
  <si>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</si>
  <si>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</si>
  <si>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</si>
  <si>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</si>
  <si>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</si>
  <si>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</si>
  <si>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</si>
  <si>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</si>
  <si>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</si>
  <si>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</si>
  <si>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</si>
  <si>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</si>
  <si>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</si>
  <si>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</si>
  <si>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</si>
  <si>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</si>
  <si>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</si>
  <si>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</si>
  <si>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</si>
  <si>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</si>
  <si>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</si>
  <si>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</si>
  <si>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</si>
  <si>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</si>
  <si>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</si>
  <si>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</si>
  <si>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</si>
  <si>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</si>
  <si>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</si>
  <si>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</si>
  <si>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</si>
  <si>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</si>
  <si>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</si>
  <si>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</si>
  <si>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</si>
  <si>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</si>
  <si>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</si>
  <si>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</si>
  <si>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</si>
  <si>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</si>
  <si>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</si>
  <si>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</si>
  <si>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</si>
  <si>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</si>
  <si>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</si>
  <si>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</si>
  <si>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</si>
  <si>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</si>
  <si>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</si>
  <si>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</si>
  <si>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</si>
  <si>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</si>
  <si>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</si>
  <si>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</si>
  <si>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</si>
  <si>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</si>
  <si>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</si>
  <si>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</si>
  <si>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</si>
  <si>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</si>
  <si>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</si>
  <si>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</si>
  <si>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</si>
  <si>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</si>
  <si>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</si>
  <si>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</si>
  <si>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</si>
  <si>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</si>
  <si>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</si>
  <si>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</si>
  <si>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</si>
  <si>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</si>
  <si>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</si>
  <si>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</si>
  <si>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</si>
  <si>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</si>
  <si>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</si>
  <si>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</si>
  <si>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</si>
  <si>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</si>
  <si>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</si>
  <si>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</si>
  <si>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</si>
  <si>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</si>
  <si>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</si>
  <si>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</si>
  <si>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</si>
  <si>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</si>
  <si>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</si>
  <si>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</si>
  <si>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</si>
  <si>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</si>
  <si>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</si>
  <si>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</si>
  <si>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</si>
  <si>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</si>
  <si>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</si>
  <si>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</si>
  <si>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</si>
  <si>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</si>
  <si>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</si>
  <si>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</si>
  <si>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</si>
  <si>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</si>
  <si>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</si>
  <si>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</si>
  <si>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</si>
  <si>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</si>
  <si>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</si>
  <si>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</si>
  <si>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</si>
  <si>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</si>
  <si>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</si>
  <si>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</si>
  <si>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</si>
  <si>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</si>
  <si>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</si>
  <si>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</si>
  <si>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</si>
  <si>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</si>
  <si>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</si>
  <si>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</si>
  <si>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</si>
  <si>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</si>
  <si>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</si>
  <si>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</si>
  <si>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</si>
  <si>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</si>
  <si>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</si>
  <si>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</si>
  <si>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</si>
  <si>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</si>
  <si>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</si>
  <si>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</si>
  <si>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</si>
  <si>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</si>
  <si>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</si>
  <si>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</si>
  <si>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</si>
  <si>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</si>
  <si>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</si>
  <si>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</si>
  <si>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</si>
  <si>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</si>
  <si>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</si>
  <si>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</si>
  <si>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</si>
  <si>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</si>
  <si>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</si>
  <si>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</si>
  <si>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</si>
  <si>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</si>
  <si>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</si>
  <si>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</si>
  <si>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</si>
  <si>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</si>
  <si>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</si>
  <si>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</si>
  <si>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</si>
  <si>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</si>
  <si>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</si>
  <si>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</si>
  <si>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</si>
  <si>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</si>
  <si>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</si>
  <si>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</si>
  <si>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</si>
  <si>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</si>
  <si>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</si>
  <si>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</si>
  <si>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</si>
  <si>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</si>
  <si>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</si>
  <si>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</si>
  <si>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</si>
  <si>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</si>
  <si>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</si>
  <si>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</si>
  <si>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</si>
  <si>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</si>
  <si>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</si>
  <si>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</si>
  <si>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</si>
  <si>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</si>
  <si>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</si>
  <si>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</si>
  <si>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</si>
  <si>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</si>
  <si>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</si>
  <si>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</si>
  <si>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</si>
  <si>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</si>
  <si>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</si>
  <si>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</si>
  <si>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</si>
  <si>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</si>
  <si>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</si>
  <si>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</si>
  <si>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</si>
  <si>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</si>
  <si>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</si>
  <si>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</si>
  <si>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</si>
  <si>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</si>
  <si>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</si>
  <si>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</si>
  <si>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</si>
  <si>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</si>
  <si>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</si>
  <si>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</si>
  <si>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</si>
  <si>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</si>
  <si>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</si>
  <si>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</si>
  <si>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</si>
  <si>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</si>
  <si>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</si>
  <si>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</si>
  <si>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</si>
  <si>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</si>
  <si>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</si>
  <si>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</si>
  <si>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</si>
  <si>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</si>
  <si>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</si>
  <si>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</si>
  <si>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</si>
  <si>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</si>
  <si>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</si>
  <si>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</si>
  <si>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</si>
  <si>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</si>
  <si>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</si>
  <si>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</si>
  <si>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</si>
  <si>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</si>
  <si>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</si>
  <si>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</si>
  <si>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</si>
  <si>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</si>
  <si>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</si>
  <si>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</si>
  <si>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</si>
  <si>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</si>
  <si>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</si>
  <si>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</si>
  <si>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</si>
  <si>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</si>
  <si>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</si>
  <si>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</si>
  <si>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</si>
  <si>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</si>
  <si>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</si>
  <si>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</si>
  <si>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</si>
  <si>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</si>
  <si>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</si>
  <si>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</si>
  <si>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</si>
  <si>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</si>
  <si>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</si>
  <si>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</si>
  <si>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</si>
  <si>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</si>
  <si>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</si>
  <si>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</si>
  <si>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</si>
  <si>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</si>
  <si>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</si>
  <si>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</si>
  <si>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</si>
  <si>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</si>
  <si>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</si>
  <si>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</si>
  <si>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</si>
  <si>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</si>
  <si>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</si>
  <si>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</si>
  <si>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</si>
  <si>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</si>
  <si>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</si>
  <si>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</si>
  <si>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</si>
  <si>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</si>
  <si>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</si>
  <si>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</si>
  <si>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</si>
  <si>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</si>
  <si>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</si>
  <si>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</si>
  <si>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</si>
  <si>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</si>
  <si>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</si>
  <si>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</si>
  <si>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</si>
  <si>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</si>
  <si>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</si>
  <si>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</si>
  <si>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</si>
  <si>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</si>
  <si>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</si>
  <si>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</si>
  <si>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</si>
  <si>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</si>
  <si>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</si>
  <si>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</si>
  <si>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</si>
  <si>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</si>
  <si>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</si>
  <si>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</si>
  <si>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</si>
  <si>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</si>
  <si>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</si>
  <si>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</si>
  <si>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</si>
  <si>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</si>
  <si>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</si>
  <si>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</si>
  <si>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</si>
  <si>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</si>
  <si>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</si>
  <si>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</si>
  <si>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</si>
  <si>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</si>
  <si>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</si>
  <si>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</si>
  <si>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</si>
  <si>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</si>
  <si>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</si>
  <si>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</si>
  <si>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</si>
  <si>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</si>
  <si>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</si>
  <si>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</si>
  <si>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</si>
  <si>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</si>
  <si>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</si>
  <si>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</si>
  <si>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</si>
  <si>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</si>
  <si>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</si>
  <si>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</si>
  <si>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</si>
  <si>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</si>
  <si>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</si>
  <si>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</si>
  <si>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</si>
  <si>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</si>
  <si>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</si>
  <si>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</si>
  <si>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</si>
  <si>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</si>
  <si>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</si>
  <si>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</si>
  <si>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</si>
  <si>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</si>
  <si>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</si>
  <si>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</si>
  <si>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</si>
  <si>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</si>
  <si>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</si>
  <si>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</si>
  <si>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</si>
  <si>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</si>
  <si>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</si>
  <si>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</si>
  <si>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</si>
  <si>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</si>
  <si>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</si>
  <si>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</si>
  <si>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</si>
  <si>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</si>
  <si>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</si>
  <si>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</si>
  <si>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</si>
  <si>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</si>
  <si>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</si>
  <si>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</si>
  <si>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</si>
  <si>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</si>
  <si>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</si>
  <si>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</si>
  <si>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</si>
  <si>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</si>
  <si>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</si>
  <si>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</si>
  <si>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</si>
  <si>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</si>
  <si>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</si>
  <si>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</si>
  <si>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</si>
  <si>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</si>
  <si>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</si>
  <si>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</si>
  <si>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</si>
  <si>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</si>
  <si>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</si>
  <si>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</si>
  <si>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</si>
  <si>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</si>
  <si>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</si>
  <si>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</si>
  <si>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</si>
  <si>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</si>
  <si>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</si>
  <si>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</si>
  <si>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</si>
  <si>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</si>
  <si>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</si>
  <si>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</si>
  <si>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</si>
  <si>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</si>
  <si>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</si>
  <si>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</si>
  <si>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</si>
  <si>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</si>
  <si>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</si>
  <si>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</si>
  <si>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</si>
  <si>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ongoing B/L change</t>
  </si>
  <si>
    <t>GF0700001535</t>
  </si>
  <si>
    <t>HSM-NT48-JH470 CFP</t>
  </si>
  <si>
    <t>POPV260821028</t>
  </si>
  <si>
    <t>26Jul015.04.01</t>
  </si>
  <si>
    <t>No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</si>
  <si>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</si>
  <si>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</si>
  <si>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</si>
  <si>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</si>
  <si>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</si>
  <si>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</si>
  <si>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</si>
  <si>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</si>
  <si>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</si>
  <si>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</si>
  <si>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</si>
  <si>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</si>
  <si>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</si>
  <si>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</si>
  <si>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</si>
  <si>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</si>
  <si>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</si>
  <si>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</si>
  <si>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</si>
  <si>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</si>
  <si>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</si>
  <si>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</si>
  <si>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</si>
  <si>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</si>
  <si>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</si>
  <si>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</si>
  <si>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</si>
  <si>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</si>
  <si>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</si>
  <si>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</si>
  <si>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</si>
  <si>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</si>
  <si>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</si>
  <si>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</si>
  <si>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</si>
  <si>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</si>
  <si>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</si>
  <si>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</si>
  <si>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</si>
  <si>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</si>
  <si>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</si>
  <si>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</si>
  <si>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</si>
  <si>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</si>
  <si>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</si>
  <si>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</si>
  <si>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</si>
  <si>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</si>
  <si>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</si>
  <si>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</si>
  <si>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</si>
  <si>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</si>
  <si>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</si>
  <si>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</si>
  <si>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</si>
  <si>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</si>
  <si>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</si>
  <si>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</si>
  <si>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</si>
  <si>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</si>
  <si>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</si>
  <si>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</si>
  <si>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</si>
  <si>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</si>
  <si>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</si>
  <si>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</si>
  <si>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</si>
  <si>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</si>
  <si>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</si>
  <si>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</si>
  <si>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</si>
  <si>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</si>
  <si>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</si>
  <si>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</si>
  <si>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</si>
  <si>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</si>
  <si>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</si>
  <si>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</si>
  <si>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</si>
  <si>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</si>
  <si>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</si>
  <si>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</si>
  <si>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</si>
  <si>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</si>
  <si>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</si>
  <si>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</si>
  <si>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</si>
  <si>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</si>
  <si>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</si>
  <si>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</si>
  <si>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</si>
  <si>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</si>
  <si>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</si>
  <si>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</si>
  <si>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</si>
  <si>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</si>
  <si>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</si>
  <si>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</si>
  <si>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</si>
  <si>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</si>
  <si>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</si>
  <si>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</si>
  <si>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</si>
  <si>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</si>
  <si>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</si>
  <si>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</si>
  <si>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</si>
  <si>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</si>
  <si>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</si>
  <si>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</si>
  <si>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</si>
  <si>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</si>
  <si>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</si>
  <si>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</si>
  <si>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</si>
  <si>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</si>
  <si>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</si>
  <si>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</si>
  <si>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</si>
  <si>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</si>
  <si>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</si>
  <si>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</si>
  <si>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</si>
  <si>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</si>
  <si>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</si>
  <si>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</si>
  <si>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</si>
  <si>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</si>
  <si>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</si>
  <si>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</si>
  <si>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</si>
  <si>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</si>
  <si>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</si>
  <si>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</si>
  <si>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</si>
  <si>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</si>
  <si>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</si>
  <si>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</si>
  <si>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</si>
  <si>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</si>
  <si>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</si>
  <si>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</si>
  <si>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</si>
  <si>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</si>
  <si>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</si>
  <si>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</si>
  <si>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</si>
  <si>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</si>
  <si>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</si>
  <si>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</si>
  <si>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</si>
  <si>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</si>
  <si>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</si>
  <si>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</si>
  <si>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</si>
  <si>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</si>
  <si>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</si>
  <si>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</si>
  <si>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</si>
  <si>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</si>
  <si>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</si>
  <si>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</si>
  <si>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</si>
  <si>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</si>
  <si>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</si>
  <si>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</si>
  <si>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</si>
  <si>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</si>
  <si>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</si>
  <si>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</si>
  <si>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</si>
  <si>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</si>
  <si>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</si>
  <si>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</si>
  <si>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</si>
  <si>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</si>
  <si>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</si>
  <si>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</si>
  <si>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</si>
  <si>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</si>
  <si>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</si>
  <si>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</si>
  <si>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</si>
  <si>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</si>
  <si>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</si>
  <si>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</si>
  <si>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</si>
  <si>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</si>
  <si>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</si>
  <si>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</si>
  <si>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</si>
  <si>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</si>
  <si>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</si>
  <si>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</si>
  <si>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</si>
  <si>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</si>
  <si>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</si>
  <si>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</si>
  <si>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</si>
  <si>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</si>
  <si>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</si>
  <si>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</si>
  <si>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</si>
  <si>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</si>
  <si>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</si>
  <si>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</si>
  <si>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</si>
  <si>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</si>
  <si>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</si>
  <si>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</si>
  <si>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</si>
  <si>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</si>
  <si>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</si>
  <si>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</si>
  <si>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</si>
  <si>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</si>
  <si>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</si>
  <si>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</si>
  <si>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</si>
  <si>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</si>
  <si>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</si>
  <si>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</si>
  <si>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</si>
  <si>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</si>
  <si>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</si>
  <si>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</si>
  <si>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</si>
  <si>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</si>
  <si>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</si>
  <si>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</si>
  <si>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</si>
  <si>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</si>
  <si>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</si>
  <si>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</si>
  <si>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</si>
  <si>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</si>
  <si>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</si>
  <si>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</si>
  <si>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</si>
  <si>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</si>
  <si>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</si>
  <si>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</si>
  <si>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</si>
  <si>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</si>
  <si>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</si>
  <si>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</si>
  <si>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</si>
  <si>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</si>
  <si>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</si>
  <si>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</si>
  <si>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</si>
  <si>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</si>
  <si>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</si>
  <si>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</si>
  <si>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</si>
  <si>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</si>
  <si>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</si>
  <si>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</si>
  <si>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</si>
  <si>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</si>
  <si>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</si>
  <si>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</si>
  <si>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</si>
  <si>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</si>
  <si>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</si>
  <si>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</si>
  <si>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</si>
  <si>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</si>
  <si>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</si>
  <si>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</si>
  <si>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</si>
  <si>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</si>
  <si>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</si>
  <si>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</si>
  <si>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</si>
  <si>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</si>
  <si>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</si>
  <si>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</si>
  <si>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</si>
  <si>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</si>
  <si>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</si>
  <si>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</si>
  <si>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</si>
  <si>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</si>
  <si>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</si>
  <si>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</si>
  <si>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</si>
  <si>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</si>
  <si>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</si>
  <si>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</si>
  <si>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</si>
  <si>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</si>
  <si>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</si>
  <si>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</si>
  <si>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</si>
  <si>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</si>
  <si>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</si>
  <si>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</si>
  <si>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</si>
  <si>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</si>
  <si>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</si>
  <si>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</si>
  <si>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</si>
  <si>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</si>
  <si>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</si>
  <si>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</si>
  <si>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</si>
  <si>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</si>
  <si>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</si>
  <si>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</si>
  <si>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</si>
  <si>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</si>
  <si>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</si>
  <si>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</si>
  <si>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</si>
  <si>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</si>
  <si>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</si>
  <si>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</si>
  <si>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</si>
  <si>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</si>
  <si>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</si>
  <si>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</si>
  <si>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</si>
  <si>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</si>
  <si>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</si>
  <si>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</si>
  <si>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</si>
  <si>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</si>
  <si>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</si>
  <si>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</si>
  <si>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</si>
  <si>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</si>
  <si>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</si>
  <si>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</si>
  <si>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</si>
  <si>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</si>
  <si>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</si>
  <si>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</si>
  <si>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</si>
  <si>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</si>
  <si>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</si>
  <si>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</si>
  <si>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</si>
  <si>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</si>
  <si>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</si>
  <si>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</si>
  <si>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</si>
  <si>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</si>
  <si>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</si>
  <si>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</si>
  <si>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</si>
  <si>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</si>
  <si>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</si>
  <si>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</si>
  <si>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</si>
  <si>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</si>
  <si>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</si>
  <si>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</si>
  <si>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</si>
  <si>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</si>
  <si>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</si>
  <si>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</si>
  <si>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</si>
  <si>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</si>
  <si>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</si>
  <si>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</si>
  <si>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</si>
  <si>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</si>
  <si>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</si>
  <si>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</si>
  <si>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</si>
  <si>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</si>
  <si>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</si>
  <si>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</si>
  <si>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</si>
  <si>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</si>
  <si>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</si>
  <si>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</si>
  <si>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</si>
  <si>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</si>
  <si>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</si>
  <si>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</si>
  <si>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</si>
  <si>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</si>
  <si>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</si>
  <si>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</si>
  <si>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</si>
  <si>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</si>
  <si>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</si>
  <si>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</si>
  <si>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</si>
  <si>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</si>
  <si>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</si>
  <si>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</si>
  <si>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</si>
  <si>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</si>
  <si>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</si>
  <si>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</si>
  <si>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</si>
  <si>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</si>
  <si>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</si>
  <si>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</si>
  <si>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</si>
  <si>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</si>
  <si>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</si>
  <si>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</si>
  <si>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</si>
  <si>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</si>
  <si>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</si>
  <si>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</si>
  <si>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</si>
  <si>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</si>
  <si>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</si>
  <si>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</si>
  <si>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</si>
  <si>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</si>
  <si>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</si>
  <si>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</si>
  <si>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</si>
  <si>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</si>
  <si>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</si>
  <si>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</si>
  <si>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</si>
  <si>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</si>
  <si>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</si>
  <si>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</si>
  <si>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</si>
  <si>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</si>
  <si>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</si>
  <si>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</si>
  <si>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</si>
  <si>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</si>
  <si>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</si>
  <si>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</si>
  <si>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</si>
  <si>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</si>
  <si>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</si>
  <si>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</si>
  <si>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</si>
  <si>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</si>
  <si>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</si>
  <si>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</si>
  <si>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</si>
  <si>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</si>
  <si>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</si>
  <si>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</si>
  <si>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</si>
  <si>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</si>
  <si>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</si>
  <si>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</si>
  <si>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</si>
  <si>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</si>
  <si>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</si>
  <si>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</si>
  <si>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</si>
  <si>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</si>
  <si>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</si>
  <si>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</si>
  <si>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</si>
  <si>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</si>
  <si>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</si>
  <si>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</si>
  <si>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</si>
  <si>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</si>
  <si>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</si>
  <si>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</si>
  <si>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</si>
  <si>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</si>
  <si>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</si>
  <si>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</si>
  <si>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</si>
  <si>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</si>
  <si>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</si>
  <si>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</si>
  <si>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</si>
  <si>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</si>
  <si>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</si>
  <si>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</si>
  <si>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</si>
  <si>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</si>
  <si>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</si>
  <si>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</si>
  <si>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</si>
  <si>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</si>
  <si>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</si>
  <si>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</si>
  <si>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</si>
  <si>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</si>
  <si>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</si>
  <si>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</si>
  <si>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</si>
  <si>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</si>
  <si>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</si>
  <si>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</si>
  <si>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</si>
  <si>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</si>
  <si>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</si>
  <si>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</si>
  <si>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</si>
  <si>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</si>
  <si>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</si>
  <si>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</si>
  <si>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</si>
  <si>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</si>
  <si>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</si>
  <si>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</si>
  <si>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</si>
  <si>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</si>
  <si>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</si>
  <si>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</si>
  <si>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</si>
  <si>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</si>
  <si>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</si>
  <si>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</si>
  <si>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</si>
  <si>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</si>
  <si>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</si>
  <si>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</si>
  <si>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</si>
  <si>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</si>
  <si>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</si>
  <si>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</si>
  <si>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</si>
  <si>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</si>
  <si>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</si>
  <si>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</si>
  <si>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</si>
  <si>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</si>
  <si>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</si>
  <si>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</si>
  <si>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</si>
  <si>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</si>
  <si>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</si>
  <si>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</si>
  <si>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</si>
  <si>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</si>
  <si>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</si>
  <si>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</si>
  <si>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</si>
  <si>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</si>
  <si>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</si>
  <si>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</si>
  <si>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</si>
  <si>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</si>
  <si>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</si>
  <si>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</si>
  <si>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</si>
  <si>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</si>
  <si>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</si>
  <si>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</si>
  <si>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</si>
  <si>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</si>
  <si>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</si>
  <si>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</si>
  <si>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</si>
  <si>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</si>
  <si>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</si>
  <si>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</si>
  <si>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</si>
  <si>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</si>
  <si>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</si>
  <si>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</si>
  <si>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</si>
  <si>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</si>
  <si>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</si>
  <si>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</si>
  <si>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</si>
  <si>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</si>
  <si>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</si>
  <si>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</si>
  <si>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</si>
  <si>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</si>
  <si>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</si>
  <si>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</si>
  <si>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</si>
  <si>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</si>
  <si>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</si>
  <si>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</si>
  <si>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</si>
  <si>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</si>
  <si>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</si>
  <si>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</si>
  <si>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</si>
  <si>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</si>
  <si>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</si>
  <si>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</si>
  <si>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</si>
  <si>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</si>
  <si>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</si>
  <si>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</si>
  <si>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</si>
  <si>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</si>
  <si>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</si>
  <si>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</si>
  <si>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</si>
  <si>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</si>
  <si>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</si>
  <si>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</si>
  <si>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</si>
  <si>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</si>
  <si>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</si>
  <si>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</si>
  <si>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</si>
  <si>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</si>
  <si>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</si>
  <si>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</si>
  <si>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</si>
  <si>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</si>
  <si>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</si>
  <si>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</si>
  <si>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</si>
  <si>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</si>
  <si>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</si>
  <si>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</si>
  <si>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</si>
  <si>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</si>
  <si>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</si>
  <si>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</si>
  <si>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</si>
  <si>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</si>
  <si>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</si>
  <si>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</si>
  <si>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</si>
  <si>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</si>
  <si>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</si>
  <si>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</si>
  <si>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</si>
  <si>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</si>
  <si>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</si>
  <si>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</si>
  <si>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</si>
  <si>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</si>
  <si>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</si>
  <si>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</si>
  <si>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</si>
  <si>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</si>
  <si>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</si>
  <si>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</si>
  <si>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</si>
  <si>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</si>
  <si>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</si>
  <si>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</si>
  <si>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</si>
  <si>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</si>
  <si>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</si>
  <si>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</si>
  <si>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</si>
  <si>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</si>
  <si>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</si>
  <si>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</si>
  <si>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</si>
  <si>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</si>
  <si>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</si>
  <si>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</si>
  <si>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</si>
  <si>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</si>
  <si>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</si>
  <si>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</si>
  <si>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</si>
  <si>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</si>
  <si>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</si>
  <si>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</si>
  <si>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</si>
  <si>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</si>
  <si>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</si>
  <si>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</si>
  <si>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</si>
  <si>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</si>
  <si>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</si>
  <si>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</si>
  <si>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</si>
  <si>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</si>
  <si>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</si>
  <si>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</si>
  <si>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</si>
  <si>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</si>
  <si>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</si>
  <si>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</si>
  <si>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</si>
  <si>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</si>
  <si>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</si>
  <si>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</si>
  <si>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</si>
  <si>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</si>
  <si>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</si>
  <si>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</si>
  <si>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</si>
  <si>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</si>
  <si>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</si>
  <si>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</si>
  <si>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</si>
  <si>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</si>
  <si>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</si>
  <si>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</si>
  <si>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</si>
  <si>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</si>
  <si>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</si>
  <si>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</si>
  <si>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</si>
  <si>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</si>
  <si>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八月30日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</si>
  <si>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</si>
  <si>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</si>
  <si>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</si>
  <si>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</si>
  <si>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</si>
  <si>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</si>
  <si>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</si>
  <si>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</si>
  <si>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</si>
  <si>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</si>
  <si>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</si>
  <si>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</si>
  <si>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</si>
  <si>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</si>
  <si>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</si>
  <si>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</si>
  <si>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</si>
  <si>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</si>
  <si>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</si>
  <si>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</si>
  <si>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</si>
  <si>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</si>
  <si>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</si>
  <si>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</si>
  <si>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CMA CGM SEINE / 0FMMWW1MA</t>
  </si>
  <si>
    <t xml:space="preserve">TPVB20260937001 </t>
  </si>
  <si>
    <t>CHN3908478</t>
  </si>
  <si>
    <t>26Jul009.01</t>
  </si>
  <si>
    <t>CHN3908494</t>
  </si>
  <si>
    <t>26Aug020.04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</si>
  <si>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</si>
  <si>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</si>
  <si>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</si>
  <si>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</si>
  <si>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</si>
  <si>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</si>
  <si>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</si>
  <si>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</si>
  <si>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</si>
  <si>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</si>
  <si>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</si>
  <si>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</si>
  <si>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</si>
  <si>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</si>
  <si>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</si>
  <si>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</si>
  <si>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</si>
  <si>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</si>
  <si>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</si>
  <si>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</si>
  <si>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</si>
  <si>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</si>
  <si>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</si>
  <si>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</si>
  <si>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COSCO SHIPPING ARIES 038W</t>
  </si>
  <si>
    <t>TPVB20260937008</t>
  </si>
  <si>
    <t>COSU6466067620</t>
  </si>
  <si>
    <t>26Aug009.07</t>
  </si>
  <si>
    <t>TPVB20260937003</t>
  </si>
  <si>
    <t>EGLV149607770881</t>
  </si>
  <si>
    <t>26Aug025.03</t>
  </si>
  <si>
    <t>26Aug006.02</t>
  </si>
  <si>
    <t>Tianjin to Yixing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</si>
  <si>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</si>
  <si>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</si>
  <si>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</si>
  <si>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</si>
  <si>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</si>
  <si>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</si>
  <si>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</si>
  <si>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</si>
  <si>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</si>
  <si>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</si>
  <si>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</si>
  <si>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</si>
  <si>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TPVB20260836004</t>
  </si>
  <si>
    <t>EGLV149607783982</t>
  </si>
  <si>
    <t>26Aug010.08</t>
  </si>
  <si>
    <t>w37 PICK-UP</t>
    <phoneticPr fontId="0" type="noConversion"/>
  </si>
  <si>
    <t>TEXAS TRIUMPH 039W</t>
  </si>
  <si>
    <t>TPVB20260837002</t>
  </si>
  <si>
    <t>EGLV149608078905</t>
  </si>
  <si>
    <t>26Jul007.08</t>
  </si>
  <si>
    <t>PL0126090800018</t>
  </si>
  <si>
    <t>OOCL TURKIYE 012W</t>
  </si>
  <si>
    <t>TPVB20260938001</t>
  </si>
  <si>
    <t>COSU6466858750</t>
  </si>
  <si>
    <t>26Aug010.11</t>
  </si>
  <si>
    <t>EVER ALLY 1419-004W</t>
  </si>
  <si>
    <t>TPVB20260938004</t>
  </si>
  <si>
    <t>COSU6467013360</t>
  </si>
  <si>
    <t>26Aug016.01</t>
  </si>
  <si>
    <t>9.18 to be assured</t>
  </si>
  <si>
    <t>OOCL SCANDINAVIA 038W</t>
  </si>
  <si>
    <t>TPVB20260938005</t>
  </si>
  <si>
    <t>COSU6467015120</t>
  </si>
  <si>
    <t>26Aug005.05</t>
  </si>
  <si>
    <t>CMA CGM MARCO POLO 
0MEOTW1MA</t>
  </si>
  <si>
    <t>TPVB20260938006</t>
  </si>
  <si>
    <t>COSU6467017560</t>
  </si>
  <si>
    <t>26Aug015.01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</si>
  <si>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</si>
  <si>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</si>
  <si>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</si>
  <si>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</si>
  <si>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</si>
  <si>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</si>
  <si>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TPVB20260938008</t>
  </si>
  <si>
    <t>COSU6467090510</t>
  </si>
  <si>
    <t>26Aug016.03</t>
  </si>
  <si>
    <t>w41 PICK-UP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</si>
  <si>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</si>
  <si>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</si>
  <si>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</si>
  <si>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</si>
  <si>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</si>
  <si>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</si>
  <si>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26Aug005.08</t>
  </si>
  <si>
    <t>26Aug015.09</t>
  </si>
  <si>
    <t>26Aug025.04</t>
  </si>
  <si>
    <t>26Aug013</t>
  </si>
  <si>
    <t>GF0700002173</t>
  </si>
  <si>
    <t>S4-DG490-108BC-FB</t>
  </si>
  <si>
    <t>to be assured，10号开始预计一天4柜产出（485+490），两个功率都可以发</t>
  </si>
  <si>
    <t>26Aug009</t>
  </si>
  <si>
    <t>26Aug013.01</t>
  </si>
  <si>
    <t>DE0126080300006</t>
    <phoneticPr fontId="2" type="noConversion"/>
  </si>
  <si>
    <t>Batch 1-11，9/23</t>
  </si>
  <si>
    <t>26Aug013.02</t>
  </si>
  <si>
    <t>Batch 1-11，9/21</t>
  </si>
  <si>
    <t>26Aug013.03</t>
  </si>
  <si>
    <t>Batch 1-11</t>
  </si>
  <si>
    <t>COSCO SHIPPING LEO 037W</t>
  </si>
  <si>
    <t>TPVB20260838005</t>
  </si>
  <si>
    <t>COSU6466678170</t>
  </si>
  <si>
    <t>26Aug013.07</t>
  </si>
  <si>
    <t>26Aug013.04</t>
  </si>
  <si>
    <t>Batch 2-5，9/27</t>
  </si>
  <si>
    <t>26Aug013.05</t>
  </si>
  <si>
    <t>Batch 3-8，9/23</t>
  </si>
  <si>
    <t>26Aug013.06</t>
  </si>
  <si>
    <t>Batch 3-5，9/22</t>
  </si>
  <si>
    <t>26Aug014</t>
  </si>
  <si>
    <t>GF0700002172</t>
  </si>
  <si>
    <t>S4-DG485-108BC-FB</t>
  </si>
  <si>
    <t>26Aug014.01</t>
  </si>
  <si>
    <t>Batch 1-8</t>
  </si>
  <si>
    <t>COSCO SHIPPING ALPS 049W</t>
  </si>
  <si>
    <t>TPVB20260838006</t>
  </si>
  <si>
    <t>COSU6466631520</t>
  </si>
  <si>
    <t>26Aug014.03</t>
  </si>
  <si>
    <t>Batch 2-8，9/21</t>
  </si>
  <si>
    <t>26Aug014.07</t>
  </si>
  <si>
    <t>26Aug014.04</t>
  </si>
  <si>
    <t>Batch 3-11，9/24</t>
  </si>
  <si>
    <t>26Aug014.05</t>
  </si>
  <si>
    <t>Batch 3-5，9/24</t>
  </si>
  <si>
    <t>26Aug014.06</t>
  </si>
  <si>
    <t>Batch 4-8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</si>
  <si>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</si>
  <si>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</si>
  <si>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</si>
  <si>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</si>
  <si>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</si>
  <si>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</si>
  <si>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</si>
  <si>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</si>
  <si>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</si>
  <si>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</si>
  <si>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</si>
  <si>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</si>
  <si>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</si>
  <si>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</si>
  <si>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</si>
  <si>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</si>
  <si>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</si>
  <si>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</si>
  <si>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</si>
  <si>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</si>
  <si>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</si>
  <si>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</si>
  <si>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</si>
  <si>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</si>
  <si>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</si>
  <si>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</si>
  <si>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</si>
  <si>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</si>
  <si>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</si>
  <si>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</si>
  <si>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</si>
  <si>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</si>
  <si>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</si>
  <si>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</si>
  <si>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</si>
  <si>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</si>
  <si>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</si>
  <si>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</si>
  <si>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</si>
  <si>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COSCO SHIPPING GEMINI 037W</t>
  </si>
  <si>
    <t>TPVB20260838004</t>
  </si>
  <si>
    <t>COSU9509786940</t>
  </si>
  <si>
    <t>26Jun021.05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</si>
  <si>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</si>
  <si>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</si>
  <si>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</si>
  <si>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</si>
  <si>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</si>
  <si>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</si>
  <si>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</si>
  <si>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</si>
  <si>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</si>
  <si>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</si>
  <si>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</si>
  <si>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</si>
  <si>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</si>
  <si>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</si>
  <si>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</si>
  <si>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</si>
  <si>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</si>
  <si>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</si>
  <si>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</si>
  <si>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</si>
  <si>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</si>
  <si>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</si>
  <si>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</si>
  <si>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</si>
  <si>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</si>
  <si>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</si>
  <si>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</si>
  <si>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</si>
  <si>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</si>
  <si>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</si>
  <si>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</si>
  <si>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</si>
  <si>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</si>
  <si>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</si>
  <si>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</si>
  <si>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</si>
  <si>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</si>
  <si>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</si>
  <si>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</si>
  <si>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</si>
  <si>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</si>
  <si>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</si>
  <si>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</si>
  <si>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</si>
  <si>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</si>
  <si>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</si>
  <si>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</si>
  <si>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</si>
  <si>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</si>
  <si>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</si>
  <si>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</si>
  <si>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</si>
  <si>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</si>
  <si>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</si>
  <si>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</si>
  <si>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</si>
  <si>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</si>
  <si>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</si>
  <si>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</si>
  <si>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</si>
  <si>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</si>
  <si>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</si>
  <si>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</si>
  <si>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</si>
  <si>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</si>
  <si>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</si>
  <si>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</si>
  <si>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</si>
  <si>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</si>
  <si>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</si>
  <si>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</si>
  <si>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</si>
  <si>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</si>
  <si>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</si>
  <si>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</si>
  <si>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</si>
  <si>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</si>
  <si>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</si>
  <si>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</si>
  <si>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</si>
  <si>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</si>
  <si>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</si>
  <si>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</si>
  <si>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</si>
  <si>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</si>
  <si>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</si>
  <si>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</si>
  <si>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</si>
  <si>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</si>
  <si>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</si>
  <si>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</si>
  <si>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</si>
  <si>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Gdasnk，9/22</t>
  </si>
  <si>
    <t>OOCL GDYNIA 011W</t>
  </si>
  <si>
    <t>COSU6467808410</t>
  </si>
  <si>
    <t>26Aug003.08</t>
  </si>
  <si>
    <t>TPVB20260940001</t>
  </si>
  <si>
    <t>26Aug002.07</t>
  </si>
  <si>
    <t>26Aug004</t>
  </si>
  <si>
    <t>26Aug004.07</t>
  </si>
  <si>
    <t>26Aug006</t>
  </si>
  <si>
    <t>26Aug005.02</t>
  </si>
  <si>
    <t>Keep for FR，差2k，9/14左右好</t>
  </si>
  <si>
    <t>26Aug006.07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</si>
  <si>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</si>
  <si>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</si>
  <si>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</si>
  <si>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</si>
  <si>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</si>
  <si>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</si>
  <si>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26Aug010.12</t>
  </si>
  <si>
    <t>26Aug010.18</t>
  </si>
  <si>
    <t>TCL SUN INC</t>
  </si>
  <si>
    <t>DAVAO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</si>
  <si>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</si>
  <si>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</si>
  <si>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</si>
  <si>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</si>
  <si>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</si>
  <si>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</si>
  <si>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</si>
  <si>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</si>
  <si>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</si>
  <si>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</si>
  <si>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</si>
  <si>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</si>
  <si>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</si>
  <si>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</si>
  <si>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</si>
  <si>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</si>
  <si>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</si>
  <si>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</si>
  <si>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</si>
  <si>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</si>
  <si>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</si>
  <si>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</si>
  <si>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</si>
  <si>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</si>
  <si>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</si>
  <si>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</si>
  <si>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</si>
  <si>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MSC METTE / GT637W</t>
  </si>
  <si>
    <t>TPVB20260838001</t>
  </si>
  <si>
    <t>SYNSHA26SE090890</t>
  </si>
  <si>
    <t>N235186779A</t>
  </si>
  <si>
    <t>26Aug011.03</t>
  </si>
  <si>
    <t>N235186779B</t>
  </si>
  <si>
    <t>26Aug011.06</t>
  </si>
  <si>
    <t>26Aug011.04</t>
  </si>
  <si>
    <t>TPVB20260839001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</si>
  <si>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</si>
  <si>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</si>
  <si>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</si>
  <si>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</si>
  <si>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</si>
  <si>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</si>
  <si>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</si>
  <si>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26Aug015.03</t>
  </si>
  <si>
    <t>26Aug015.04</t>
  </si>
  <si>
    <t>26Aug015.05</t>
  </si>
  <si>
    <t>26Aug015.07</t>
  </si>
  <si>
    <t>26Aug016</t>
  </si>
  <si>
    <t>26Aug016.02</t>
  </si>
  <si>
    <t>26Aug016.11</t>
  </si>
  <si>
    <t>26Aug016.04</t>
  </si>
  <si>
    <t>to be assured</t>
  </si>
  <si>
    <t xml:space="preserve">TPVB20260939001 </t>
  </si>
  <si>
    <t>26Aug016.05</t>
  </si>
  <si>
    <t>26Aug016.06</t>
  </si>
  <si>
    <t>26Aug016.07</t>
  </si>
  <si>
    <t>26Aug016.08</t>
  </si>
  <si>
    <t>26Aug016.09</t>
  </si>
  <si>
    <t>9.19--hold on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</si>
  <si>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</si>
  <si>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</si>
  <si>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</si>
  <si>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</si>
  <si>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</si>
  <si>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</si>
  <si>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</si>
  <si>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</si>
  <si>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</si>
  <si>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</si>
  <si>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</si>
  <si>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</si>
  <si>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</si>
  <si>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</si>
  <si>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</si>
  <si>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</si>
  <si>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</si>
  <si>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</si>
  <si>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</si>
  <si>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26Aug020.07</t>
  </si>
  <si>
    <t>26Aug021</t>
  </si>
  <si>
    <t>26Aug021.1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</si>
  <si>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</si>
  <si>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</si>
  <si>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</si>
  <si>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</si>
  <si>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</si>
  <si>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</si>
  <si>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</si>
  <si>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</si>
  <si>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</si>
  <si>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</si>
  <si>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Local WH/Project Solar Lable</t>
  </si>
  <si>
    <t>Dec--to be assured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</si>
  <si>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</si>
  <si>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</si>
  <si>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</si>
  <si>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</si>
  <si>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</si>
  <si>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</si>
  <si>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</si>
  <si>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</si>
  <si>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</si>
  <si>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</si>
  <si>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</si>
  <si>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</si>
  <si>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</si>
  <si>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</si>
  <si>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</si>
  <si>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</si>
  <si>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</si>
  <si>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</si>
  <si>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</si>
  <si>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</si>
  <si>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</si>
  <si>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</si>
  <si>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</si>
  <si>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</si>
  <si>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</si>
  <si>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</si>
  <si>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</si>
  <si>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</si>
  <si>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</si>
  <si>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</si>
  <si>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</si>
  <si>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</si>
  <si>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</si>
  <si>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</si>
  <si>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</si>
  <si>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</si>
  <si>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</si>
  <si>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</si>
  <si>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</si>
  <si>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</si>
  <si>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</si>
  <si>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</si>
  <si>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</si>
  <si>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</si>
  <si>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</si>
  <si>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</si>
  <si>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</si>
  <si>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</si>
  <si>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</si>
  <si>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</si>
  <si>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</si>
  <si>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</si>
  <si>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</si>
  <si>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</si>
  <si>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</si>
  <si>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</si>
  <si>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</si>
  <si>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</si>
  <si>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</si>
  <si>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</si>
  <si>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</si>
  <si>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</si>
  <si>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</si>
  <si>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</si>
  <si>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</si>
  <si>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</si>
  <si>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</si>
  <si>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</si>
  <si>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</si>
  <si>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</si>
  <si>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</si>
  <si>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</si>
  <si>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</si>
  <si>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</si>
  <si>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</si>
  <si>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</si>
  <si>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</si>
  <si>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</si>
  <si>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</si>
  <si>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</si>
  <si>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</si>
  <si>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</si>
  <si>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</si>
  <si>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</si>
  <si>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</si>
  <si>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</si>
  <si>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</si>
  <si>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</si>
  <si>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</si>
  <si>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</si>
  <si>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</si>
  <si>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</si>
  <si>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</si>
  <si>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</si>
  <si>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</si>
  <si>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</si>
  <si>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</si>
  <si>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</si>
  <si>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</si>
  <si>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</si>
  <si>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</si>
  <si>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</si>
  <si>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</si>
  <si>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</si>
  <si>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</si>
  <si>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</si>
  <si>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</si>
  <si>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</si>
  <si>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</si>
  <si>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</si>
  <si>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</si>
  <si>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</si>
  <si>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</si>
  <si>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</si>
  <si>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</si>
  <si>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</si>
  <si>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</si>
  <si>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</si>
  <si>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</si>
  <si>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</si>
  <si>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</si>
  <si>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</si>
  <si>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</si>
  <si>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</si>
  <si>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</si>
  <si>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</si>
  <si>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</si>
  <si>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</si>
  <si>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</si>
  <si>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</si>
  <si>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</si>
  <si>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</si>
  <si>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</si>
  <si>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</si>
  <si>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</si>
  <si>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</si>
  <si>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</si>
  <si>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</si>
  <si>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</si>
  <si>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</si>
  <si>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</si>
  <si>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</si>
  <si>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</si>
  <si>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</si>
  <si>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</si>
  <si>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</si>
  <si>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</si>
  <si>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</si>
  <si>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</si>
  <si>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</si>
  <si>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</si>
  <si>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</si>
  <si>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</si>
  <si>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</si>
  <si>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</si>
  <si>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</si>
  <si>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</si>
  <si>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</si>
  <si>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</si>
  <si>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</si>
  <si>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</si>
  <si>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</si>
  <si>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</si>
  <si>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</si>
  <si>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</si>
  <si>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</si>
  <si>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</si>
  <si>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</si>
  <si>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</si>
  <si>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</si>
  <si>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</si>
  <si>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</si>
  <si>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</si>
  <si>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</si>
  <si>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</si>
  <si>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</si>
  <si>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</si>
  <si>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</si>
  <si>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</si>
  <si>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</si>
  <si>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</si>
  <si>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</si>
  <si>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</si>
  <si>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</si>
  <si>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</si>
  <si>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</si>
  <si>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</si>
  <si>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</si>
  <si>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</si>
  <si>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</si>
  <si>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</si>
  <si>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</si>
  <si>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</si>
  <si>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</si>
  <si>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</si>
  <si>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</si>
  <si>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</si>
  <si>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</si>
  <si>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</si>
  <si>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</si>
  <si>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</si>
  <si>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</si>
  <si>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</si>
  <si>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</si>
  <si>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</si>
  <si>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</si>
  <si>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</si>
  <si>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</si>
  <si>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</si>
  <si>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</si>
  <si>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</si>
  <si>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</si>
  <si>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</si>
  <si>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</si>
  <si>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</si>
  <si>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</si>
  <si>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</si>
  <si>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</si>
  <si>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</si>
  <si>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</si>
  <si>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</si>
  <si>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</si>
  <si>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</si>
  <si>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</si>
  <si>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</si>
  <si>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</si>
  <si>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</si>
  <si>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</si>
  <si>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</si>
  <si>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</si>
  <si>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</si>
  <si>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</si>
  <si>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</si>
  <si>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</si>
  <si>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</si>
  <si>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</si>
  <si>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</si>
  <si>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</si>
  <si>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</si>
  <si>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</si>
  <si>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</si>
  <si>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</si>
  <si>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</si>
  <si>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</si>
  <si>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</si>
  <si>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</si>
  <si>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</si>
  <si>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</si>
  <si>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</si>
  <si>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</si>
  <si>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</si>
  <si>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</si>
  <si>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</si>
  <si>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</si>
  <si>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</si>
  <si>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</si>
  <si>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</si>
  <si>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</si>
  <si>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</si>
  <si>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</si>
  <si>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</si>
  <si>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</si>
  <si>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</si>
  <si>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</si>
  <si>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</si>
  <si>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</si>
  <si>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</si>
  <si>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</si>
  <si>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</si>
  <si>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</si>
  <si>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</si>
  <si>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</si>
  <si>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</si>
  <si>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</si>
  <si>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</si>
  <si>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</si>
  <si>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</si>
  <si>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</si>
  <si>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</si>
  <si>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</si>
  <si>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</si>
  <si>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</si>
  <si>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</si>
  <si>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</si>
  <si>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</si>
  <si>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</si>
  <si>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</si>
  <si>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</si>
  <si>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</si>
  <si>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</si>
  <si>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</si>
  <si>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</si>
  <si>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</si>
  <si>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</si>
  <si>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</si>
  <si>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</si>
  <si>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</si>
  <si>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</si>
  <si>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</si>
  <si>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</si>
  <si>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</si>
  <si>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</si>
  <si>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</si>
  <si>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</si>
  <si>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</si>
  <si>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</si>
  <si>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</si>
  <si>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</si>
  <si>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</si>
  <si>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</si>
  <si>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</si>
  <si>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</si>
  <si>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</si>
  <si>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</si>
  <si>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</si>
  <si>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</si>
  <si>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</si>
  <si>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</si>
  <si>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</si>
  <si>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</si>
  <si>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</si>
  <si>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</si>
  <si>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</si>
  <si>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</si>
  <si>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</si>
  <si>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</si>
  <si>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</si>
  <si>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</si>
  <si>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</si>
  <si>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</si>
  <si>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</si>
  <si>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</si>
  <si>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</si>
  <si>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</si>
  <si>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</si>
  <si>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</si>
  <si>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</si>
  <si>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</si>
  <si>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</si>
  <si>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</si>
  <si>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</si>
  <si>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</si>
  <si>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</si>
  <si>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</si>
  <si>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</si>
  <si>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</si>
  <si>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</si>
  <si>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</si>
  <si>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</si>
  <si>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</si>
  <si>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</si>
  <si>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</si>
  <si>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</si>
  <si>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</si>
  <si>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</si>
  <si>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</si>
  <si>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</si>
  <si>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</si>
  <si>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</si>
  <si>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</si>
  <si>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</si>
  <si>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</si>
  <si>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</si>
  <si>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</si>
  <si>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</si>
  <si>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</si>
  <si>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</si>
  <si>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</si>
  <si>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</si>
  <si>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</si>
  <si>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</si>
  <si>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</si>
  <si>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</si>
  <si>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</si>
  <si>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</si>
  <si>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</si>
  <si>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</si>
  <si>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</si>
  <si>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</si>
  <si>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</si>
  <si>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</si>
  <si>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</si>
  <si>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</si>
  <si>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</si>
  <si>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</si>
  <si>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</si>
  <si>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</si>
  <si>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</si>
  <si>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</si>
  <si>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</si>
  <si>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</si>
  <si>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</si>
  <si>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</si>
  <si>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</si>
  <si>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</si>
  <si>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</si>
  <si>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</si>
  <si>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</si>
  <si>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</si>
  <si>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</si>
  <si>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</si>
  <si>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</si>
  <si>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</si>
  <si>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</si>
  <si>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</si>
  <si>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</si>
  <si>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</si>
  <si>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</si>
  <si>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</si>
  <si>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</si>
  <si>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</si>
  <si>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</si>
  <si>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</si>
  <si>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</si>
  <si>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</si>
  <si>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</si>
  <si>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</si>
  <si>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</si>
  <si>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</si>
  <si>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</si>
  <si>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</si>
  <si>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</si>
  <si>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</si>
  <si>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</si>
  <si>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</si>
  <si>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</si>
  <si>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</si>
  <si>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</si>
  <si>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</si>
  <si>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</si>
  <si>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</si>
  <si>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</si>
  <si>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</si>
  <si>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</si>
  <si>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</si>
  <si>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</si>
  <si>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</si>
  <si>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</si>
  <si>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</si>
  <si>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</si>
  <si>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</si>
  <si>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</si>
  <si>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</si>
  <si>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</si>
  <si>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</si>
  <si>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</si>
  <si>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</si>
  <si>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</si>
  <si>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</si>
  <si>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</si>
  <si>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</si>
  <si>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</si>
  <si>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</si>
  <si>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</si>
  <si>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</si>
  <si>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</si>
  <si>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</si>
  <si>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</si>
  <si>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</si>
  <si>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</si>
  <si>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</si>
  <si>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</si>
  <si>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</si>
  <si>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</si>
  <si>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</si>
  <si>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</si>
  <si>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</si>
  <si>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</si>
  <si>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</si>
  <si>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</si>
  <si>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</si>
  <si>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</si>
  <si>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</si>
  <si>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</si>
  <si>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</si>
  <si>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</si>
  <si>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</si>
  <si>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</si>
  <si>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</si>
  <si>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</si>
  <si>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</si>
  <si>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</si>
  <si>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</si>
  <si>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</si>
  <si>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</si>
  <si>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</si>
  <si>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</si>
  <si>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</si>
  <si>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</si>
  <si>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</si>
  <si>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</si>
  <si>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</si>
  <si>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</si>
  <si>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</si>
  <si>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</si>
  <si>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</si>
  <si>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</si>
  <si>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</si>
  <si>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</si>
  <si>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</si>
  <si>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</si>
  <si>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</si>
  <si>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</si>
  <si>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</si>
  <si>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</si>
  <si>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</si>
  <si>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</si>
  <si>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</si>
  <si>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</si>
  <si>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</si>
  <si>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</si>
  <si>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</si>
  <si>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</si>
  <si>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</si>
  <si>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</si>
  <si>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</si>
  <si>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</si>
  <si>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</si>
  <si>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</si>
  <si>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</si>
  <si>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</si>
  <si>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</si>
  <si>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</si>
  <si>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</si>
  <si>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</si>
  <si>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</si>
  <si>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</si>
  <si>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</si>
  <si>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</si>
  <si>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</si>
  <si>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</si>
  <si>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</si>
  <si>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</si>
  <si>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</si>
  <si>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</si>
  <si>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</si>
  <si>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</si>
  <si>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</si>
  <si>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</si>
  <si>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</si>
  <si>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</si>
  <si>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</si>
  <si>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</si>
  <si>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</si>
  <si>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</si>
  <si>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</si>
  <si>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</si>
  <si>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</si>
  <si>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</si>
  <si>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</si>
  <si>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</si>
  <si>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</si>
  <si>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</si>
  <si>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</si>
  <si>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</si>
  <si>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</si>
  <si>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</si>
  <si>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</si>
  <si>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</si>
  <si>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</si>
  <si>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</si>
  <si>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</si>
  <si>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</si>
  <si>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</si>
  <si>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</si>
  <si>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</si>
  <si>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</si>
  <si>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</si>
  <si>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</si>
  <si>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</si>
  <si>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</si>
  <si>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</si>
  <si>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</si>
  <si>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</si>
  <si>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</si>
  <si>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</si>
  <si>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</si>
  <si>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</si>
  <si>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</si>
  <si>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</si>
  <si>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</si>
  <si>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</si>
  <si>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</si>
  <si>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MILAN MAERSK / 639W</t>
  </si>
  <si>
    <t>TPVB20260903004</t>
  </si>
  <si>
    <t>MAERSK CAMPBELL/640W</t>
  </si>
  <si>
    <t>TPVB20260903005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</si>
  <si>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</si>
  <si>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</si>
  <si>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</si>
  <si>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</si>
  <si>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</si>
  <si>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</si>
  <si>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</si>
  <si>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</si>
  <si>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</si>
  <si>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</si>
  <si>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</si>
  <si>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</si>
  <si>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</si>
  <si>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</si>
  <si>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</si>
  <si>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</si>
  <si>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</si>
  <si>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</si>
  <si>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</si>
  <si>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</si>
  <si>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</si>
  <si>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</si>
  <si>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</si>
  <si>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</si>
  <si>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</si>
  <si>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</si>
  <si>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</si>
  <si>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</si>
  <si>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</si>
  <si>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</si>
  <si>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</si>
  <si>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</si>
  <si>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W44 PICKUP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</si>
  <si>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</si>
  <si>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</si>
  <si>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</si>
  <si>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</si>
  <si>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</si>
  <si>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</si>
  <si>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</si>
  <si>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26SEP019</t>
  </si>
  <si>
    <t>GF0700002261</t>
  </si>
  <si>
    <t>BLUEARK X5-50K</t>
  </si>
  <si>
    <t>BLUEARK X5</t>
  </si>
  <si>
    <t>W38 PICKUP</t>
  </si>
  <si>
    <t>Laem Chabang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</si>
  <si>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</si>
  <si>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</si>
  <si>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</si>
  <si>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</si>
  <si>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</si>
  <si>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</si>
  <si>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</si>
  <si>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</si>
  <si>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</si>
  <si>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</si>
  <si>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</si>
  <si>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</si>
  <si>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</si>
  <si>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</si>
  <si>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</si>
  <si>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</si>
  <si>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</si>
  <si>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</si>
  <si>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</si>
  <si>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</si>
  <si>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Rtm+Fos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</si>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</sst>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90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8"/>
      <color theme="1"/>
      <name val="Microsoft YaHei"/>
      <family val="2"/>
      <charset val="134"/>
    </font>
    <font>
      <sz val="11"/>
      <color rgb="FF000000"/>
      <name val="宋体"/>
      <family val="3"/>
      <charset val="134"/>
    </font>
    <font>
      <sz val="8"/>
      <color rgb="FFFF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rgb="FFC00000"/>
      <name val="宋体"/>
      <family val="3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43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19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79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left" vertical="center"/>
    </xf>
    <xf numFmtId="178" fontId="79" fillId="3" borderId="4" xfId="0" applyNumberFormat="1" applyFont="1" applyFill="1" applyBorder="1" applyAlignment="1">
      <alignment horizontal="left" vertical="center"/>
    </xf>
    <xf numFmtId="179" fontId="79" fillId="3" borderId="4" xfId="0" applyNumberFormat="1" applyFont="1" applyFill="1" applyBorder="1" applyAlignment="1">
      <alignment horizontal="left" vertical="center"/>
    </xf>
    <xf numFmtId="178" fontId="79" fillId="3" borderId="4" xfId="2863" applyNumberFormat="1" applyFont="1" applyFill="1" applyBorder="1" applyAlignment="1">
      <alignment horizontal="left" vertical="center"/>
    </xf>
    <xf numFmtId="0" fontId="79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left" vertical="center"/>
    </xf>
    <xf numFmtId="0" fontId="79" fillId="3" borderId="13" xfId="0" applyFont="1" applyFill="1" applyBorder="1" applyAlignment="1">
      <alignment horizontal="left" vertical="center"/>
    </xf>
    <xf numFmtId="180" fontId="79" fillId="3" borderId="13" xfId="0" applyNumberFormat="1" applyFont="1" applyFill="1" applyBorder="1" applyAlignment="1">
      <alignment horizontal="left" vertical="center"/>
    </xf>
    <xf numFmtId="0" fontId="79" fillId="9" borderId="13" xfId="0" applyFont="1" applyFill="1" applyBorder="1" applyAlignment="1">
      <alignment horizontal="left" vertical="center"/>
    </xf>
    <xf numFmtId="176" fontId="79" fillId="3" borderId="13" xfId="0" applyNumberFormat="1" applyFont="1" applyFill="1" applyBorder="1" applyAlignment="1">
      <alignment horizontal="left" vertical="center"/>
    </xf>
    <xf numFmtId="188" fontId="79" fillId="3" borderId="13" xfId="0" applyNumberFormat="1" applyFont="1" applyFill="1" applyBorder="1" applyAlignment="1">
      <alignment horizontal="left" vertical="center"/>
    </xf>
    <xf numFmtId="184" fontId="79" fillId="3" borderId="13" xfId="0" applyNumberFormat="1" applyFont="1" applyFill="1" applyBorder="1" applyAlignment="1">
      <alignment horizontal="left" vertical="center"/>
    </xf>
    <xf numFmtId="178" fontId="79" fillId="3" borderId="13" xfId="0" applyNumberFormat="1" applyFont="1" applyFill="1" applyBorder="1" applyAlignment="1">
      <alignment horizontal="left" vertical="center"/>
    </xf>
    <xf numFmtId="179" fontId="79" fillId="3" borderId="13" xfId="0" applyNumberFormat="1" applyFont="1" applyFill="1" applyBorder="1" applyAlignment="1">
      <alignment horizontal="left" vertical="center"/>
    </xf>
    <xf numFmtId="178" fontId="79" fillId="3" borderId="13" xfId="2863" applyNumberFormat="1" applyFont="1" applyFill="1" applyBorder="1" applyAlignment="1">
      <alignment horizontal="left" vertical="center"/>
    </xf>
    <xf numFmtId="179" fontId="79" fillId="3" borderId="13" xfId="2863" applyNumberFormat="1" applyFont="1" applyFill="1" applyBorder="1" applyAlignment="1">
      <alignment horizontal="left" vertical="center"/>
    </xf>
    <xf numFmtId="0" fontId="79" fillId="3" borderId="1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0" fillId="3" borderId="13" xfId="0" applyFont="1" applyFill="1" applyBorder="1" applyAlignment="1">
      <alignment horizontal="left" vertical="center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87" fontId="79" fillId="3" borderId="13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176" fontId="79" fillId="3" borderId="13" xfId="0" applyNumberFormat="1" applyFont="1" applyFill="1" applyBorder="1" applyAlignment="1">
      <alignment horizontal="center" vertical="center"/>
    </xf>
    <xf numFmtId="179" fontId="79" fillId="3" borderId="4" xfId="2863" applyNumberFormat="1" applyFont="1" applyFill="1" applyBorder="1" applyAlignment="1">
      <alignment horizontal="left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0" fontId="50" fillId="6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81" fillId="28" borderId="4" xfId="0" applyFont="1" applyFill="1" applyBorder="1"/>
    <xf numFmtId="178" fontId="82" fillId="28" borderId="3" xfId="0" applyNumberFormat="1" applyFont="1" applyFill="1" applyBorder="1" applyAlignment="1">
      <alignment horizontal="left"/>
    </xf>
    <xf numFmtId="178" fontId="49" fillId="50" borderId="4" xfId="0" applyNumberFormat="1" applyFont="1" applyFill="1" applyBorder="1" applyAlignment="1">
      <alignment horizontal="left" vertical="center"/>
    </xf>
    <xf numFmtId="178" fontId="46" fillId="50" borderId="13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0" fontId="82" fillId="3" borderId="2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0" fontId="82" fillId="3" borderId="13" xfId="0" applyFont="1" applyFill="1" applyBorder="1" applyAlignment="1">
      <alignment horizontal="left" vertical="center"/>
    </xf>
    <xf numFmtId="0" fontId="82" fillId="3" borderId="1" xfId="0" applyFont="1" applyFill="1" applyBorder="1" applyAlignment="1">
      <alignment horizontal="center"/>
    </xf>
    <xf numFmtId="0" fontId="82" fillId="3" borderId="13" xfId="0" applyFont="1" applyFill="1" applyBorder="1" applyAlignment="1">
      <alignment horizontal="left"/>
    </xf>
    <xf numFmtId="179" fontId="82" fillId="3" borderId="4" xfId="0" applyNumberFormat="1" applyFont="1" applyFill="1" applyBorder="1" applyAlignment="1">
      <alignment horizontal="left"/>
    </xf>
    <xf numFmtId="179" fontId="82" fillId="3" borderId="2" xfId="0" applyNumberFormat="1" applyFont="1" applyFill="1" applyBorder="1" applyAlignment="1">
      <alignment horizontal="left"/>
    </xf>
    <xf numFmtId="177" fontId="82" fillId="3" borderId="1" xfId="0" applyNumberFormat="1" applyFont="1" applyFill="1" applyBorder="1" applyAlignment="1">
      <alignment horizontal="left"/>
    </xf>
    <xf numFmtId="178" fontId="82" fillId="3" borderId="1" xfId="0" applyNumberFormat="1" applyFont="1" applyFill="1" applyBorder="1" applyAlignment="1">
      <alignment horizontal="left"/>
    </xf>
    <xf numFmtId="179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2" fillId="5" borderId="2" xfId="0" applyFont="1" applyFill="1" applyBorder="1" applyAlignment="1">
      <alignment horizontal="left"/>
    </xf>
    <xf numFmtId="0" fontId="82" fillId="5" borderId="1" xfId="0" applyFont="1" applyFill="1" applyBorder="1" applyAlignment="1">
      <alignment horizontal="left"/>
    </xf>
    <xf numFmtId="0" fontId="7" fillId="5" borderId="4" xfId="0" applyFont="1" applyFill="1" applyBorder="1"/>
    <xf numFmtId="0" fontId="82" fillId="5" borderId="13" xfId="0" applyFont="1" applyFill="1" applyBorder="1" applyAlignment="1">
      <alignment horizontal="left"/>
    </xf>
    <xf numFmtId="179" fontId="82" fillId="5" borderId="4" xfId="0" applyNumberFormat="1" applyFont="1" applyFill="1" applyBorder="1" applyAlignment="1">
      <alignment horizontal="left"/>
    </xf>
    <xf numFmtId="178" fontId="82" fillId="5" borderId="1" xfId="0" applyNumberFormat="1" applyFont="1" applyFill="1" applyBorder="1" applyAlignment="1">
      <alignment horizontal="left"/>
    </xf>
    <xf numFmtId="179" fontId="82" fillId="5" borderId="1" xfId="0" applyNumberFormat="1" applyFont="1" applyFill="1" applyBorder="1" applyAlignment="1">
      <alignment horizontal="left"/>
    </xf>
    <xf numFmtId="14" fontId="82" fillId="5" borderId="1" xfId="0" applyNumberFormat="1" applyFont="1" applyFill="1" applyBorder="1" applyAlignment="1">
      <alignment horizontal="left"/>
    </xf>
    <xf numFmtId="0" fontId="82" fillId="5" borderId="4" xfId="0" applyFont="1" applyFill="1" applyBorder="1" applyAlignment="1">
      <alignment horizontal="left"/>
    </xf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0" borderId="2" xfId="0" applyFont="1" applyFill="1" applyBorder="1" applyAlignment="1">
      <alignment horizontal="left"/>
    </xf>
    <xf numFmtId="0" fontId="7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center"/>
    </xf>
    <xf numFmtId="179" fontId="7" fillId="50" borderId="4" xfId="0" applyNumberFormat="1" applyFont="1" applyFill="1" applyBorder="1" applyAlignment="1">
      <alignment horizontal="left"/>
    </xf>
    <xf numFmtId="0" fontId="7" fillId="50" borderId="13" xfId="0" applyFont="1" applyFill="1" applyBorder="1" applyAlignment="1">
      <alignment horizontal="left" vertical="center"/>
    </xf>
    <xf numFmtId="0" fontId="7" fillId="50" borderId="1" xfId="0" applyFont="1" applyFill="1" applyBorder="1" applyAlignment="1">
      <alignment horizontal="center"/>
    </xf>
    <xf numFmtId="0" fontId="7" fillId="50" borderId="9" xfId="0" applyFont="1" applyFill="1" applyBorder="1"/>
    <xf numFmtId="0" fontId="7" fillId="50" borderId="4" xfId="0" applyFont="1" applyFill="1" applyBorder="1"/>
    <xf numFmtId="0" fontId="7" fillId="50" borderId="28" xfId="0" applyFont="1" applyFill="1" applyBorder="1" applyAlignment="1">
      <alignment horizontal="left"/>
    </xf>
    <xf numFmtId="179" fontId="7" fillId="50" borderId="5" xfId="0" applyNumberFormat="1" applyFont="1" applyFill="1" applyBorder="1" applyAlignment="1">
      <alignment horizontal="center"/>
    </xf>
    <xf numFmtId="0" fontId="10" fillId="50" borderId="4" xfId="0" applyFont="1" applyFill="1" applyBorder="1"/>
    <xf numFmtId="0" fontId="7" fillId="50" borderId="13" xfId="0" applyFont="1" applyFill="1" applyBorder="1" applyAlignment="1">
      <alignment horizontal="left"/>
    </xf>
    <xf numFmtId="179" fontId="7" fillId="50" borderId="4" xfId="0" applyNumberFormat="1" applyFont="1" applyFill="1" applyBorder="1" applyAlignment="1">
      <alignment horizontal="center"/>
    </xf>
    <xf numFmtId="0" fontId="10" fillId="50" borderId="13" xfId="0" applyFont="1" applyFill="1" applyBorder="1"/>
    <xf numFmtId="177" fontId="7" fillId="50" borderId="1" xfId="0" applyNumberFormat="1" applyFont="1" applyFill="1" applyBorder="1" applyAlignment="1">
      <alignment horizontal="left"/>
    </xf>
    <xf numFmtId="177" fontId="7" fillId="50" borderId="4" xfId="0" applyNumberFormat="1" applyFont="1" applyFill="1" applyBorder="1" applyAlignment="1">
      <alignment horizontal="center"/>
    </xf>
    <xf numFmtId="0" fontId="7" fillId="50" borderId="4" xfId="0" applyFont="1" applyFill="1" applyBorder="1" applyAlignment="1">
      <alignment horizontal="left"/>
    </xf>
    <xf numFmtId="178" fontId="7" fillId="50" borderId="1" xfId="0" applyNumberFormat="1" applyFont="1" applyFill="1" applyBorder="1" applyAlignment="1">
      <alignment horizontal="left"/>
    </xf>
    <xf numFmtId="179" fontId="7" fillId="50" borderId="1" xfId="0" applyNumberFormat="1" applyFont="1" applyFill="1" applyBorder="1" applyAlignment="1">
      <alignment horizontal="left"/>
    </xf>
    <xf numFmtId="0" fontId="8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left"/>
    </xf>
    <xf numFmtId="0" fontId="7" fillId="50" borderId="0" xfId="0" applyFont="1" applyFill="1" applyAlignment="1">
      <alignment horizontal="left"/>
    </xf>
    <xf numFmtId="0" fontId="59" fillId="50" borderId="0" xfId="0" applyFont="1" applyFill="1" applyAlignment="1">
      <alignment horizontal="left"/>
    </xf>
    <xf numFmtId="178" fontId="82" fillId="5" borderId="1" xfId="0" applyNumberFormat="1" applyFont="1" applyFill="1" applyBorder="1" applyAlignment="1">
      <alignment horizontal="center"/>
    </xf>
    <xf numFmtId="179" fontId="7" fillId="5" borderId="16" xfId="0" applyNumberFormat="1" applyFont="1" applyFill="1" applyBorder="1" applyAlignment="1">
      <alignment horizontal="left"/>
    </xf>
    <xf numFmtId="0" fontId="82" fillId="5" borderId="13" xfId="0" applyFont="1" applyFill="1" applyBorder="1" applyAlignment="1">
      <alignment horizontal="left" vertical="center"/>
    </xf>
    <xf numFmtId="0" fontId="82" fillId="5" borderId="1" xfId="0" applyFont="1" applyFill="1" applyBorder="1" applyAlignment="1">
      <alignment horizontal="center"/>
    </xf>
    <xf numFmtId="0" fontId="83" fillId="5" borderId="4" xfId="0" applyFont="1" applyFill="1" applyBorder="1"/>
    <xf numFmtId="0" fontId="63" fillId="51" borderId="4" xfId="0" applyFont="1" applyFill="1" applyBorder="1" applyAlignment="1">
      <alignment horizontal="left" vertical="center"/>
    </xf>
    <xf numFmtId="0" fontId="46" fillId="51" borderId="4" xfId="0" applyFont="1" applyFill="1" applyBorder="1" applyAlignment="1">
      <alignment horizontal="left" vertical="center"/>
    </xf>
    <xf numFmtId="180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center" vertical="center"/>
    </xf>
    <xf numFmtId="188" fontId="46" fillId="51" borderId="4" xfId="0" applyNumberFormat="1" applyFont="1" applyFill="1" applyBorder="1" applyAlignment="1">
      <alignment horizontal="left" vertical="center"/>
    </xf>
    <xf numFmtId="184" fontId="46" fillId="51" borderId="4" xfId="0" applyNumberFormat="1" applyFont="1" applyFill="1" applyBorder="1" applyAlignment="1">
      <alignment horizontal="left" vertical="center"/>
    </xf>
    <xf numFmtId="187" fontId="46" fillId="51" borderId="4" xfId="0" applyNumberFormat="1" applyFont="1" applyFill="1" applyBorder="1" applyAlignment="1">
      <alignment horizontal="center" vertical="center"/>
    </xf>
    <xf numFmtId="178" fontId="46" fillId="51" borderId="4" xfId="0" applyNumberFormat="1" applyFont="1" applyFill="1" applyBorder="1" applyAlignment="1">
      <alignment horizontal="left" vertical="center"/>
    </xf>
    <xf numFmtId="179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178" fontId="49" fillId="51" borderId="4" xfId="2863" applyNumberFormat="1" applyFont="1" applyFill="1" applyBorder="1" applyAlignment="1">
      <alignment horizontal="left" vertical="center"/>
    </xf>
    <xf numFmtId="0" fontId="49" fillId="51" borderId="4" xfId="0" applyFont="1" applyFill="1" applyBorder="1" applyAlignment="1">
      <alignment horizontal="left" vertical="center"/>
    </xf>
    <xf numFmtId="0" fontId="80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center" vertical="center"/>
    </xf>
    <xf numFmtId="188" fontId="79" fillId="3" borderId="4" xfId="0" applyNumberFormat="1" applyFont="1" applyFill="1" applyBorder="1" applyAlignment="1">
      <alignment horizontal="left" vertical="center"/>
    </xf>
    <xf numFmtId="184" fontId="79" fillId="3" borderId="4" xfId="0" applyNumberFormat="1" applyFont="1" applyFill="1" applyBorder="1" applyAlignment="1">
      <alignment horizontal="left" vertical="center"/>
    </xf>
    <xf numFmtId="0" fontId="84" fillId="52" borderId="35" xfId="0" applyFont="1" applyFill="1" applyBorder="1"/>
    <xf numFmtId="0" fontId="84" fillId="0" borderId="35" xfId="0" applyFont="1" applyBorder="1"/>
    <xf numFmtId="178" fontId="84" fillId="52" borderId="35" xfId="0" applyNumberFormat="1" applyFont="1" applyFill="1" applyBorder="1"/>
    <xf numFmtId="178" fontId="84" fillId="0" borderId="35" xfId="0" applyNumberFormat="1" applyFont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9" fontId="85" fillId="5" borderId="4" xfId="0" applyNumberFormat="1" applyFont="1" applyFill="1" applyBorder="1" applyAlignment="1">
      <alignment horizontal="left"/>
    </xf>
    <xf numFmtId="0" fontId="68" fillId="26" borderId="13" xfId="0" applyFont="1" applyFill="1" applyBorder="1" applyAlignment="1">
      <alignment horizontal="left"/>
    </xf>
    <xf numFmtId="0" fontId="86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left"/>
    </xf>
    <xf numFmtId="0" fontId="86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0" fontId="86" fillId="8" borderId="4" xfId="0" applyFont="1" applyFill="1" applyBorder="1" applyAlignment="1">
      <alignment horizontal="left"/>
    </xf>
    <xf numFmtId="178" fontId="49" fillId="26" borderId="4" xfId="2863" applyNumberFormat="1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49" borderId="4" xfId="2863" applyNumberFormat="1" applyFont="1" applyFill="1" applyBorder="1" applyAlignment="1">
      <alignment horizontal="left" vertical="center"/>
    </xf>
    <xf numFmtId="178" fontId="46" fillId="53" borderId="4" xfId="0" applyNumberFormat="1" applyFont="1" applyFill="1" applyBorder="1" applyAlignment="1">
      <alignment horizontal="left" vertical="center"/>
    </xf>
    <xf numFmtId="178" fontId="46" fillId="53" borderId="4" xfId="2863" applyNumberFormat="1" applyFont="1" applyFill="1" applyBorder="1" applyAlignment="1">
      <alignment horizontal="left" vertical="center"/>
    </xf>
    <xf numFmtId="178" fontId="49" fillId="53" borderId="4" xfId="2863" applyNumberFormat="1" applyFont="1" applyFill="1" applyBorder="1" applyAlignment="1">
      <alignment horizontal="left" vertical="center"/>
    </xf>
    <xf numFmtId="178" fontId="49" fillId="53" borderId="13" xfId="2863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0" fontId="82" fillId="45" borderId="2" xfId="0" applyFont="1" applyFill="1" applyBorder="1" applyAlignment="1">
      <alignment horizontal="left"/>
    </xf>
    <xf numFmtId="0" fontId="82" fillId="45" borderId="1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left"/>
    </xf>
    <xf numFmtId="0" fontId="82" fillId="45" borderId="13" xfId="0" applyFont="1" applyFill="1" applyBorder="1" applyAlignment="1">
      <alignment horizontal="left" vertical="center"/>
    </xf>
    <xf numFmtId="0" fontId="82" fillId="45" borderId="1" xfId="0" applyFont="1" applyFill="1" applyBorder="1" applyAlignment="1">
      <alignment horizontal="center"/>
    </xf>
    <xf numFmtId="0" fontId="82" fillId="45" borderId="13" xfId="0" applyFont="1" applyFill="1" applyBorder="1" applyAlignment="1">
      <alignment horizontal="left"/>
    </xf>
    <xf numFmtId="179" fontId="82" fillId="45" borderId="4" xfId="0" applyNumberFormat="1" applyFont="1" applyFill="1" applyBorder="1" applyAlignment="1">
      <alignment horizontal="left"/>
    </xf>
    <xf numFmtId="179" fontId="82" fillId="45" borderId="2" xfId="0" applyNumberFormat="1" applyFont="1" applyFill="1" applyBorder="1" applyAlignment="1">
      <alignment horizontal="left"/>
    </xf>
    <xf numFmtId="177" fontId="82" fillId="45" borderId="1" xfId="0" applyNumberFormat="1" applyFont="1" applyFill="1" applyBorder="1" applyAlignment="1">
      <alignment horizontal="left"/>
    </xf>
    <xf numFmtId="179" fontId="82" fillId="45" borderId="1" xfId="0" applyNumberFormat="1" applyFont="1" applyFill="1" applyBorder="1" applyAlignment="1">
      <alignment horizontal="left"/>
    </xf>
    <xf numFmtId="14" fontId="82" fillId="45" borderId="1" xfId="0" applyNumberFormat="1" applyFont="1" applyFill="1" applyBorder="1" applyAlignment="1">
      <alignment horizontal="left"/>
    </xf>
    <xf numFmtId="0" fontId="82" fillId="45" borderId="4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center"/>
    </xf>
    <xf numFmtId="178" fontId="7" fillId="45" borderId="4" xfId="0" applyNumberFormat="1" applyFont="1" applyFill="1" applyBorder="1" applyAlignment="1">
      <alignment horizontal="center"/>
    </xf>
    <xf numFmtId="179" fontId="7" fillId="45" borderId="16" xfId="0" applyNumberFormat="1" applyFont="1" applyFill="1" applyBorder="1" applyAlignment="1">
      <alignment horizontal="left"/>
    </xf>
    <xf numFmtId="0" fontId="50" fillId="9" borderId="19" xfId="0" applyFont="1" applyFill="1" applyBorder="1" applyAlignment="1">
      <alignment horizontal="left" vertical="center"/>
    </xf>
    <xf numFmtId="0" fontId="88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89" fillId="0" borderId="35" xfId="0" applyFont="1" applyBorder="1"/>
    <xf numFmtId="0" fontId="89" fillId="52" borderId="35" xfId="0" applyFont="1" applyFill="1" applyBorder="1"/>
    <xf numFmtId="178" fontId="89" fillId="0" borderId="35" xfId="0" applyNumberFormat="1" applyFont="1" applyBorder="1"/>
    <xf numFmtId="178" fontId="89" fillId="52" borderId="35" xfId="0" applyNumberFormat="1" applyFont="1" applyFill="1" applyBorder="1"/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3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FFCC"/>
      <color rgb="FFD6B3E5"/>
      <color rgb="FFEBCDF7"/>
      <color rgb="FFCCFFFF"/>
      <color rgb="FFF4EB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36" tableId="2">
      <columnFilter colId="33" id="{29C63467-65EA-415E-914E-74EC0103A92A}">
        <filter colId="33">
          <x:filters>
            <x:filter val="GENOA"/>
            <x:filter val="NAPLES"/>
          </x:filters>
        </filter>
      </columnFilter>
      <columnFilter colId="34" id="{C939EA06-4286-405B-BABC-8A0ED9B01066}">
        <filter colId="34">
          <x:filters blank="1"/>
        </filter>
      </columnFilter>
    </nsvFilter>
    <nsvFilter filterId="{00000000-0001-0000-0000-000000000000}" ref="AC1252" tableId="0"/>
  </namedSheetView>
  <namedSheetView name="WK" id="{DA549B02-A86F-4580-973C-0776183B3A28}">
    <nsvFilter filterId="{2CD5AE86-8652-4E0C-8097-37E069BF9A50}" ref="A1:BH1236" tableId="2">
      <sortRules>
        <sortRule colId="4" id="{628F8B8A-1CB1-44C0-B8DF-1D26BB297B81}">
          <sortCondition ref="E1:E1236"/>
        </sortRule>
      </sortRules>
    </nsvFilter>
  </namedSheetView>
  <namedSheetView name="视图1" id="{00883A75-C09B-4FF0-B372-C271D01E070C}">
    <nsvFilter filterId="{2CD5AE86-8652-4E0C-8097-37E069BF9A50}" ref="A1:BH1236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36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36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36" tableId="2"/>
  </namedSheetView>
  <namedSheetView name="视图5" id="{95B9BC5A-9BAA-4760-9644-5DCEDE2A386E}">
    <nsvFilter filterId="{2CD5AE86-8652-4E0C-8097-37E069BF9A50}" ref="A1:BH1236" tableId="2">
      <columnFilter colId="0" id="{58C3FCB6-A079-46E9-BFC3-16462428788F}">
        <filter colId="0">
          <x:filters>
            <x:filter val="26Aug016"/>
            <x:filter val="26Aug016.01"/>
            <x:filter val="26Aug016.02"/>
            <x:filter val="26Aug016.03"/>
            <x:filter val="26Aug016.04"/>
            <x:filter val="26Aug016.05"/>
            <x:filter val="26Aug016.06"/>
            <x:filter val="26Aug016.07"/>
            <x:filter val="26Aug016.08"/>
            <x:filter val="26Aug016.09"/>
            <x:filter val="26Aug016.10"/>
            <x:filter val="26Aug016.11"/>
          </x:filters>
        </filter>
      </columnFilter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</nsvFilter>
  </namedSheetView>
  <namedSheetView name="视图6" id="{9AC3B029-B60D-4679-B1F0-6A2A767540A3}">
    <nsvFilter filterId="{2CD5AE86-8652-4E0C-8097-37E069BF9A50}" ref="A1:BH1236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36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36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36" tableId="2"/>
  </namedSheetView>
  <namedSheetView name="视图10" id="{A3D485B7-6297-401E-A538-516CAD9A8AFC}">
    <nsvFilter filterId="{2CD5AE86-8652-4E0C-8097-37E069BF9A50}" ref="A1:BH1236" tableId="2"/>
  </namedSheetView>
  <namedSheetView name="视图11" id="{0E1829E2-1919-499F-8325-D44C6D97BAD1}">
    <nsvFilter filterId="{2CD5AE86-8652-4E0C-8097-37E069BF9A50}" ref="A1:BH1236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1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1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0.674573958335" createdVersion="8" refreshedVersion="8" minRefreshableVersion="3" recordCount="28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SEP019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7">
        <s v="n/a"/>
        <s v="Arrival Plan-SPNL"/>
        <s v="Arrival Plan-SPTN"/>
        <m/>
        <s v="Arrival Plan-SPES"/>
        <s v="Arrival Plan-SPUK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s v="GF0700002261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s v="BLUEARK X5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2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1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828024"/>
        <s v="TPVO2026062602"/>
        <s v="POPV260911027"/>
        <s v="POPV260911024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Laem Chabang"/>
        <s v="Rtm+Fos"/>
      </sharedItems>
    </cacheField>
    <cacheField name="ETD On S/O" numFmtId="178">
      <sharedItems containsNonDate="0" containsDate="1" containsString="0" containsBlank="1" minDate="2025-12-07T00:00:00" maxDate="2026-10-06T00:00:00" count="51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m/>
        <d v="2026-09-01T00:00:00"/>
        <d v="2026-09-15T00:00:00"/>
        <d v="2026-09-23T00:00:00"/>
        <d v="2026-09-25T00:00:00"/>
        <d v="2026-09-26T00:00:00"/>
        <d v="2026-10-05T00:00:00"/>
        <d v="2026-10-04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28T00:00:00"/>
    </cacheField>
    <cacheField name="ATD PORT" numFmtId="0">
      <sharedItems containsNonDate="0" containsDate="1" containsString="0" containsBlank="1" minDate="2025-12-07T00:00:00" maxDate="2026-09-15T00:00:00"/>
    </cacheField>
    <cacheField name="ETA On S/O" numFmtId="178">
      <sharedItems containsNonDate="0" containsDate="1" containsString="0" containsBlank="1" minDate="2026-01-26T00:00:00" maxDate="2026-11-26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08T00:00:00" count="2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02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10-06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6"/>
        </groupItems>
      </fieldGroup>
    </cacheField>
    <cacheField name="Quarters (ETD On S/O)" numFmtId="0" databaseField="0">
      <fieldGroup base="32">
        <rangePr groupBy="quarters" startDate="2025-12-07T00:00:00" endDate="2026-10-06T00:00:00"/>
        <groupItems count="6">
          <s v="&lt;2025/12/7"/>
          <s v="第一季"/>
          <s v="第二季"/>
          <s v="第三季"/>
          <s v="第四季"/>
          <s v="&gt;2026/10/6"/>
        </groupItems>
      </fieldGroup>
    </cacheField>
    <cacheField name="Years (ETD On S/O)" numFmtId="0" databaseField="0">
      <fieldGroup base="32">
        <rangePr groupBy="years" startDate="2025-12-07T00:00:00" endDate="2026-10-06T00:00:00"/>
        <groupItems count="4">
          <s v="&lt;2025/12/7"/>
          <s v="2025年"/>
          <s v="2026年"/>
          <s v="&gt;2026/10/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0.674578124999" createdVersion="8" refreshedVersion="8" minRefreshableVersion="3" recordCount="1235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Ecostal Yomatec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VOLTANEO "/>
        <s v="FAST FORWARD THINKING"/>
        <s v="n/a"/>
        <s v="Energynat Solutions Sp.z o.o."/>
        <s v="AVJ CONSTRUCTIONS "/>
        <s v="EnergyNAT Sp. z.o.o"/>
        <s v="To add into July plan"/>
        <s v="ship to Congo africa-MATADI"/>
        <s v="Philippines"/>
        <s v="TCL SUN INC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8"/>
        <s v="GF0700001869" u="1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28T00:00:00"/>
    </cacheField>
    <cacheField name="Pick-Up Date" numFmtId="178">
      <sharedItems containsNonDate="0" containsDate="1" containsString="0" containsBlank="1" minDate="2025-12-09T00:00:00" maxDate="2026-09-18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s v="PIRAEUS-Thessaloniki" u="1"/>
        <m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1T00:00:00"/>
    </cacheField>
    <cacheField name="ETD Update" numFmtId="178">
      <sharedItems containsDate="1" containsBlank="1" containsMixedTypes="1" minDate="2025-01-13T00:00:00" maxDate="2026-10-02T00:00:00"/>
    </cacheField>
    <cacheField name="ATD PORT" numFmtId="0">
      <sharedItems containsDate="1" containsBlank="1" containsMixedTypes="1" minDate="2025-12-21T00:00:00" maxDate="2026-09-14T23:45:19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15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09606910"/>
        <s v="COSU9509606920"/>
        <s v="COSU6465715640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7015120"/>
        <s v="COSU6467017560"/>
        <s v="COSU6467016280"/>
        <s v="COSU6467090510"/>
        <n v="276628939"/>
        <n v="276629180"/>
        <s v="COSU6466678170"/>
        <s v="COSU6466631520"/>
        <s v="COSU6464983000"/>
        <s v="COSU9509511700"/>
        <s v="COSU950978694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6467808410"/>
        <s v="COSU9509787370"/>
        <n v="802581991"/>
        <s v="SYNSHA26SE090924"/>
        <s v="ONEYTSNG80406501"/>
        <s v="ONEYTSNG80406500"/>
        <s v="SYNSHA26SE0908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-46287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19T00:00:00"/>
    <x v="19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2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19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7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m/>
    <x v="7"/>
    <m/>
    <s v="SHANGHAI"/>
    <s v="Shanghai"/>
    <x v="0"/>
    <x v="41"/>
    <d v="2026-09-24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4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7"/>
    <d v="2026-09-27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7"/>
    <m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8"/>
    <m/>
    <m/>
    <d v="2026-11-08T00:00:00"/>
    <m/>
    <x v="19"/>
    <s v="CIF"/>
    <s v="MILAN MAERSK / 639W"/>
    <s v="OTHER"/>
    <s v="TPVB20260903004"/>
    <n v="276870378"/>
    <n v="276870378"/>
    <n v="35"/>
    <m/>
    <d v="2026-11-08T00:00:00"/>
    <x v="1"/>
    <s v=""/>
    <n v="9"/>
    <d v="2026-11-17T00:00:00"/>
    <x v="0"/>
    <x v="9"/>
    <n v="47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9"/>
    <m/>
    <m/>
    <d v="2026-11-25T00:00:00"/>
    <m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50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50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10T00:00:00"/>
    <n v="37"/>
    <x v="48"/>
    <m/>
    <s v="SHENZHEN"/>
    <s v="SHEKOU"/>
    <x v="10"/>
    <x v="50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20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2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1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0.08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495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3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0000000000000001E-3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4"/>
    <s v="Huizhou"/>
    <s v="Main Line"/>
    <s v="n/a"/>
    <s v="n/a"/>
    <x v="0"/>
    <m/>
    <s v="TCL Energy Solution Co.,Ltd"/>
    <m/>
    <m/>
    <m/>
    <m/>
    <m/>
    <x v="42"/>
    <s v="BLUEARK X5-50K"/>
    <x v="41"/>
    <m/>
    <x v="21"/>
    <m/>
    <m/>
    <n v="1"/>
    <s v="CT20"/>
    <s v="W38 PICKUP"/>
    <s v=""/>
    <d v="2026-09-14T00:00:00"/>
    <m/>
    <n v="0"/>
    <x v="7"/>
    <m/>
    <s v="SHENZHEN"/>
    <s v="Shenzhen"/>
    <x v="11"/>
    <x v="42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0"/>
    <n v="2"/>
    <s v="n/a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6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7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8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0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1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2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3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1"/>
    <s v="W41 PICKUP"/>
    <m/>
    <d v="2026-10-08T00:00:00"/>
    <m/>
    <m/>
    <x v="7"/>
    <m/>
    <s v="SHANGHAI"/>
    <s v="Shanghai"/>
    <x v="0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34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5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6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7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8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9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40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12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e v="#N/A"/>
    <m/>
  </r>
  <r>
    <x v="241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2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4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5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6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8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4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5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6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7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8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4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5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6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5 PICKUP"/>
    <s v=""/>
    <d v="2026-11-0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4"/>
    <s v="On gird inverter"/>
    <x v="43"/>
    <n v="5000"/>
    <x v="96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9"/>
    <s v="material/not produced yet"/>
    <s v="Main Line"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70"/>
    <m/>
    <s v="Main Line"/>
    <m/>
    <s v="n/a"/>
    <x v="0"/>
    <m/>
    <m/>
    <m/>
    <s v="Non-EU"/>
    <m/>
    <m/>
    <m/>
    <x v="46"/>
    <s v="Electrical Box"/>
    <x v="45"/>
    <m/>
    <x v="97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70"/>
    <m/>
    <s v="Main Line"/>
    <m/>
    <s v="n/a"/>
    <x v="0"/>
    <m/>
    <m/>
    <m/>
    <s v="Non-EU"/>
    <m/>
    <m/>
    <m/>
    <x v="47"/>
    <s v="Electrical Box"/>
    <x v="46"/>
    <m/>
    <x v="98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6T04:00:00"/>
    <s v=""/>
    <m/>
    <s v="OOCL PORTUGAL 007W"/>
    <s v="COSCO"/>
    <s v="TPVB20260626006"/>
    <x v="452"/>
    <s v="COSU9507977520"/>
    <n v="89.166666666664241"/>
    <m/>
    <d v="2026-09-26T04:00:00"/>
    <s v="In Transit-Approved"/>
    <d v="2026-10-02T00:00:00"/>
    <n v="7"/>
    <d v="2026-10-03T04:00:00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3T18:00:00"/>
    <m/>
    <m/>
    <s v="COSCO SHIPPING AZALEA 036E"/>
    <s v="COSCO"/>
    <s v="TPVB20260627010"/>
    <x v="464"/>
    <s v="COSU9508140760"/>
    <n v="85.75"/>
    <m/>
    <d v="2026-10-03T18:00:00"/>
    <s v="In Transit-Approved"/>
    <d v="2026-10-12T00:00:00"/>
    <n v="10"/>
    <d v="2026-10-13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1"/>
    <x v="465"/>
    <s v="COSU9508147070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2"/>
    <x v="466"/>
    <s v="COSU9508147071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3"/>
    <x v="467"/>
    <s v="COSU9508147081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4"/>
    <x v="468"/>
    <s v="COSU9508147080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20T06:00:00"/>
    <m/>
    <m/>
    <s v="OOCL DENMARK 009W"/>
    <s v="COSCO"/>
    <s v="TPVB20260628001"/>
    <x v="469"/>
    <s v="COSU6506450380"/>
    <n v="62.25"/>
    <m/>
    <d v="2026-09-20T06:00:00"/>
    <s v="In Stock-Approved"/>
    <d v="2026-09-02T00:00:00"/>
    <n v="0"/>
    <d v="2026-09-20T06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20:00:00"/>
    <s v=""/>
    <m/>
    <s v="COSCO SHIPPING CAPRICORN 041W_x000a_041W"/>
    <s v="COSCO"/>
    <s v="TPVB20260628012"/>
    <x v="484"/>
    <s v="COSU9508260600"/>
    <n v="6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0"/>
    <d v="2026-09-23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8T19:00:00"/>
    <s v=""/>
    <m/>
    <s v="COSCO FRANCE 075W"/>
    <s v="COSCO"/>
    <s v="TPVB20260729003"/>
    <x v="496"/>
    <s v="COSU9508345820"/>
    <n v="88.791666666664241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3T18:00:00"/>
    <m/>
    <m/>
    <s v="COSCO FRANCE 075W"/>
    <s v="COSCO"/>
    <s v="TPVB20260729004"/>
    <x v="499"/>
    <s v="COSU9508346010"/>
    <n v="73.75"/>
    <m/>
    <d v="2026-10-03T18:00:00"/>
    <s v="In Transit-Approved"/>
    <d v="2026-10-09T00:00:00"/>
    <n v="10"/>
    <d v="2026-10-13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s v=""/>
    <m/>
    <s v="COSCO SHIPPING PISCES 033W"/>
    <s v="COSCO"/>
    <s v="TPVB20260730005"/>
    <x v="508"/>
    <s v="COSU9508457230"/>
    <n v="44.208414351851388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8T19:00:00"/>
    <s v=""/>
    <m/>
    <s v="COSCO SHIPPING SCORPIO 035W换EVER GOLDEN 033W"/>
    <s v="COSCO"/>
    <s v="TPVB20260730007"/>
    <x v="509"/>
    <s v="COSU9508475300"/>
    <n v="57.906608796292858"/>
    <m/>
    <d v="2026-10-18T19:00:00"/>
    <s v="In Transit-Approved"/>
    <d v="2026-10-26T00:00:00"/>
    <n v="8"/>
    <d v="2026-10-26T19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18:00:00"/>
    <s v=""/>
    <m/>
    <s v="EVER GOODS 035W"/>
    <s v="COSCO"/>
    <s v="TPVB20260730008"/>
    <x v="510"/>
    <s v="COSU6508263600"/>
    <n v="67.75"/>
    <m/>
    <d v="2026-10-02T18:00:00"/>
    <s v="In Transit-Approved"/>
    <d v="2026-09-28T00:00:00"/>
    <n v="8"/>
    <d v="2026-10-10T18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s v="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11:00:00"/>
    <s v=""/>
    <m/>
    <s v="COSCO SHIPPING VIRGO 036W"/>
    <s v="COSCO"/>
    <s v="TPVB20260730009"/>
    <x v="512"/>
    <s v="COSU6507918470"/>
    <n v="61.458333333335759"/>
    <m/>
    <d v="2026-09-25T11:00:00"/>
    <s v="In Transit-Approved"/>
    <d v="2027-10-08T00:00:00"/>
    <n v="7"/>
    <d v="2026-10-02T11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9:00:00"/>
    <s v=""/>
    <m/>
    <s v="OOCL FELIXSTOWE 011W"/>
    <s v="COSCO"/>
    <s v="TPVB20260731013"/>
    <x v="514"/>
    <s v="COSU6508644310"/>
    <n v="47.375"/>
    <m/>
    <d v="2026-09-21T09:00:00"/>
    <s v="In Transit-Approved"/>
    <d v="2026-09-23T00:00:00"/>
    <n v="7"/>
    <d v="2026-09-28T09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s v="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m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0T02:00:00"/>
    <s v=""/>
    <m/>
    <s v="EVER GOLDEN 0765-033W"/>
    <s v="COSCO"/>
    <s v="TPVB20260731019"/>
    <x v="522"/>
    <s v="COSU6509178440"/>
    <n v="51.600000000005821"/>
    <m/>
    <d v="2026-10-20T02:00:00"/>
    <s v="In Transit-Approved"/>
    <d v="2026-10-26T00:00:00"/>
    <n v="10"/>
    <d v="2026-10-30T0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20:00:00"/>
    <s v=""/>
    <m/>
    <s v="CMA CGM GEORG FORSTER 0MEOFW1MA"/>
    <s v="COSCO"/>
    <s v="TPVB20260731021"/>
    <x v="524"/>
    <s v="COSU6508944020"/>
    <n v="41.021099537036207"/>
    <m/>
    <d v="2026-09-17T20:00:00"/>
    <s v="In Transit-Approved"/>
    <d v="2026-09-24T00:00:00"/>
    <n v="8"/>
    <d v="2026-09-25T2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s v="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20:00:00"/>
    <s v=""/>
    <m/>
    <s v="CMA CGM GEORG FORSTER "/>
    <s v="COSCO"/>
    <s v="TPVB20260731023"/>
    <x v="528"/>
    <s v="COSU6509574920"/>
    <n v="4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m/>
    <m/>
    <s v="CMA CGM PETRA/0K13NW"/>
    <s v="OTHER"/>
    <s v="TPVB20260731010"/>
    <x v="530"/>
    <s v="CN107433226"/>
    <n v="33"/>
    <m/>
    <d v="2026-09-14T00:00:00"/>
    <s v="In Stock-Approved"/>
    <d v="2026-09-14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8:00:00"/>
    <s v=""/>
    <s v="CIF"/>
    <s v="COSCO SHIPPING GALAXY 030W"/>
    <s v="COSCO"/>
    <s v="TPVB20260730016"/>
    <x v="536"/>
    <s v="COSU9508583080"/>
    <n v="81.57943287037051"/>
    <m/>
    <d v="2026-10-22T18:00:00"/>
    <s v="In Transit-Approved"/>
    <d v="2026-10-29T00:00:00"/>
    <n v="8"/>
    <d v="2026-10-30T18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18:00:00"/>
    <s v=""/>
    <s v="CIF"/>
    <s v="COSCO SHIPPING GALAXY 030W"/>
    <s v="COSCO"/>
    <s v="TPVB20260730017"/>
    <x v="537"/>
    <s v="COSU9508583110"/>
    <n v="61.57943287037051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5T18:00:00"/>
    <m/>
    <m/>
    <s v="OOCL GERMANY 039W"/>
    <s v="COSCO"/>
    <s v="TPVB20260832020"/>
    <x v="541"/>
    <s v="COSU6509534810"/>
    <n v="49.622337962966412"/>
    <m/>
    <d v="2026-10-05T18:00:00"/>
    <s v="In Stock-Approved"/>
    <d v="2026-10-01T00:00:00"/>
    <n v="0"/>
    <d v="2026-10-05T18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11:00:00"/>
    <s v=""/>
    <m/>
    <s v="OOCL GERMANY 039W"/>
    <s v="COSCO"/>
    <s v="TPVB20260832021"/>
    <x v="542"/>
    <s v="COSU6462068440"/>
    <n v="39.330671296302171"/>
    <m/>
    <d v="2026-09-25T11:00:00"/>
    <s v="In Transit-Approved"/>
    <d v="2026-10-08T00:00:00"/>
    <n v="7"/>
    <d v="2026-10-02T11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22"/>
    <x v="543"/>
    <s v="COSU646200175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09-23T00:00:00"/>
    <n v="7"/>
    <d v="2026-09-26T10:15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In Stock-Approved"/>
    <d v="2026-09-11T00:00:00"/>
    <n v="0"/>
    <d v="2026-09-11T00:00:00"/>
    <n v="2026"/>
    <n v="9"/>
    <n v="37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-"/>
    <s v=""/>
    <n v="0"/>
    <d v="2026-09-11T00:00:00"/>
    <n v="2026"/>
    <n v="9"/>
    <n v="37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4T06:00:00"/>
    <s v=""/>
    <m/>
    <s v="CMA CGM OSIRIS 0MEOHW1MA"/>
    <s v="COSCO"/>
    <s v="TPVB20260832017"/>
    <x v="552"/>
    <s v="COSU6509607500"/>
    <n v="35.27163194444438"/>
    <m/>
    <d v="2026-09-24T06:00:00"/>
    <s v="In Transit-Approved"/>
    <d v="2026-10-07T00:00:00"/>
    <n v="8"/>
    <d v="2026-10-02T06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2:00:00"/>
    <s v=""/>
    <m/>
    <s v="CMA CGM OSIRIS 0MEOHW1MA"/>
    <s v="COSCO"/>
    <s v="TPVB20260832018"/>
    <x v="553"/>
    <s v="COSU6509607090"/>
    <n v="30.104965277780138"/>
    <m/>
    <d v="2026-09-19T02:00:00"/>
    <s v="In Stock-Approved"/>
    <d v="2026-09-17T00:00:00"/>
    <n v="0"/>
    <d v="2026-09-19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5T18:00:00"/>
    <m/>
    <m/>
    <s v="TITAN 044W"/>
    <s v="COSCO"/>
    <s v="TPVB20260832019"/>
    <x v="554"/>
    <s v="COSU6509607950"/>
    <n v="48.937766203700448"/>
    <m/>
    <d v="2026-09-25T18:00:00"/>
    <s v="In Transit-Approved"/>
    <d v="2026-10-05T00:00:00"/>
    <n v="10"/>
    <d v="2026-10-05T18:00:00"/>
    <n v="2026"/>
    <n v="10"/>
    <n v="41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2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4680"/>
    <n v="2.1996000000000002"/>
    <n v="130"/>
    <n v="5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15.04.01"/>
    <s v="Yixing"/>
    <s v="26Jul015"/>
    <s v="CORE DG"/>
    <x v="2"/>
    <s v="Arrival Plan-SPTN"/>
    <s v="CIF"/>
    <x v="28"/>
    <s v="U4"/>
    <x v="175"/>
    <m/>
    <m/>
    <s v="No"/>
    <d v="2026-08-03T00:00:00"/>
    <x v="11"/>
    <x v="94"/>
    <s v="HSM-NT48-JH470 CFP"/>
    <s v="EVO2A"/>
    <s v="±1200mm"/>
    <n v="470"/>
    <n v="936"/>
    <n v="0.43991999999999998"/>
    <n v="26"/>
    <n v="1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1"/>
    <x v="560"/>
    <s v="COSU95088037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15:00:00"/>
    <m/>
    <m/>
    <s v="COSCO SHIPPING LIBRA 036W"/>
    <s v="COSCO"/>
    <s v="TPVB20260832012"/>
    <x v="561"/>
    <s v="COSU95088765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3"/>
    <x v="562"/>
    <s v="COSU6461689400"/>
    <n v="46.432442129625997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9:00:00"/>
    <s v=""/>
    <m/>
    <s v="OOCL FELIXSTOWE 011W"/>
    <s v="COSCO"/>
    <s v="TPVB20260832003"/>
    <x v="563"/>
    <s v="COSU9508762190"/>
    <n v="40.135208333333139"/>
    <m/>
    <d v="2026-09-21T09:00:00"/>
    <s v="In Transit-Approved"/>
    <d v="2026-10-05T00:00:00"/>
    <n v="7"/>
    <d v="2026-09-28T09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2T18:00:00"/>
    <s v=""/>
    <m/>
    <s v="CMA CGM OSIRIS 0MEOHW"/>
    <s v="COSCO"/>
    <s v="TPVB20260832007"/>
    <x v="566"/>
    <s v="COSU9508804610"/>
    <n v="43.736423611109785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7"/>
    <s v="COSU6463190630"/>
    <n v="34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15:00:00"/>
    <s v=""/>
    <m/>
    <s v="EVER GOVERN 1414-029W"/>
    <s v="COSCO"/>
    <s v="TPVB20260833015"/>
    <x v="570"/>
    <s v="COSU6461896790"/>
    <n v="35.393136574071832"/>
    <m/>
    <d v="2026-09-24T15:00:00"/>
    <s v="In Transit-Approved"/>
    <d v="2026-10-08T00:00:00"/>
    <n v="7"/>
    <d v="2026-10-01T15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5"/>
    <s v="COSU646234909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5"/>
    <s v="COSU6462349090"/>
    <n v="36.427083333335759"/>
    <m/>
    <d v="2026-09-19T10:15:00"/>
    <s v="In Transit-Approved"/>
    <d v="2026-09-04T00:00:00"/>
    <n v="7"/>
    <d v="2026-09-26T10:15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"/>
    <x v="576"/>
    <s v="COSU646235005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-1"/>
    <x v="577"/>
    <s v="COSU6462350050"/>
    <n v="36.427083333335759"/>
    <m/>
    <d v="2026-09-19T10:15:00"/>
    <s v="In Stock-Approved"/>
    <d v="2026-10-05T00:00:00"/>
    <n v="0"/>
    <d v="2026-09-19T10:15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8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8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9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9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1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6T00:00:00"/>
    <n v="9"/>
    <d v="2026-11-03T09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15:00:00"/>
    <s v=""/>
    <m/>
    <s v="COSCO SHIPPING GALAXY 030W转 COSCO SHIPPING LIBRA 036W"/>
    <s v="COSCO"/>
    <s v="TPVB20260833006"/>
    <x v="585"/>
    <s v="COSU9508762590"/>
    <n v="31.776898148149485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8T19:00:00"/>
    <s v=""/>
    <m/>
    <s v="EVER GOLDEN 033W"/>
    <s v="COSCO"/>
    <s v="TPVB20260833007"/>
    <x v="588"/>
    <s v="COSU9508902260"/>
    <n v="57.906608796292858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9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1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6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7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3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9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5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862363"/>
    <n v="39"/>
    <m/>
    <d v="2026-10-03T00:00:00"/>
    <s v="In Transit-Approved"/>
    <d v="2026-10-1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9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8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9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8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6T19:00:00"/>
    <s v=""/>
    <m/>
    <s v="EVER GIFTED 0767-030W"/>
    <s v="COSCO"/>
    <s v="TPVB20260834028"/>
    <x v="599"/>
    <s v="COSU6463259170"/>
    <n v="52.69447916666104"/>
    <m/>
    <d v="2026-10-26T19:00:00"/>
    <s v="In Transit-Approved"/>
    <d v="2026-10-27T00:00:00"/>
    <n v="8"/>
    <d v="2026-11-03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0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0T00:00:00"/>
    <n v="9"/>
    <d v="2026-11-07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3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4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80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5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6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7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8:00:00"/>
    <s v=""/>
    <m/>
    <s v="OOCL HONG KONG 040W"/>
    <s v="COSCO"/>
    <s v="TPVB20260834002"/>
    <x v="608"/>
    <s v="COSU9508973640"/>
    <n v="47.687858796292858"/>
    <m/>
    <d v="2026-10-22T18:00:00"/>
    <s v="In Stock-Approved"/>
    <d v="2026-10-16T00:00:00"/>
    <n v="0"/>
    <d v="2026-10-22T18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2T18:00:00"/>
    <s v=""/>
    <m/>
    <s v="CMA CGM VASCO DE GAMA 0MEOJW"/>
    <s v="COSCO"/>
    <s v="TPVB20260834001"/>
    <x v="609"/>
    <s v="COSU9508973860"/>
    <n v="43.736423611109785"/>
    <m/>
    <d v="2026-10-02T18:00:00"/>
    <s v="In Stock-Approved"/>
    <d v="2026-09-30T00:00:00"/>
    <n v="0"/>
    <d v="2026-10-02T18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6T19:00:00"/>
    <s v=""/>
    <m/>
    <s v="EVER GIFTED 030W"/>
    <s v="COSCO"/>
    <s v="TPVB20260834035"/>
    <x v="610"/>
    <s v="COSU9509256390"/>
    <n v="46.748854166660749"/>
    <m/>
    <d v="2026-10-26T19:00:00"/>
    <s v="-"/>
    <s v=""/>
    <n v="8"/>
    <d v="2026-11-03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1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2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3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4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5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9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1T20:30:00"/>
    <s v=""/>
    <m/>
    <s v="COSCO SHIPPING UNIVERSE 036W"/>
    <s v="COSCO"/>
    <s v="TPVB20260834017"/>
    <x v="619"/>
    <s v="COSU9509124230"/>
    <n v="68.483009259260143"/>
    <m/>
    <d v="2026-11-01T20:30:00"/>
    <s v="In Transit-Approved"/>
    <d v="2026-11-03T00:00:00"/>
    <n v="8"/>
    <d v="2026-11-09T20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20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1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2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3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3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4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5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5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6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7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8T03:00:00"/>
    <s v=""/>
    <s v="CIF"/>
    <s v="COSCO SHIPPING SOLAR 037W"/>
    <s v="COSCO"/>
    <s v="TPVB20260833024"/>
    <x v="628"/>
    <s v="COSU6462455040"/>
    <n v="58.633807870370219"/>
    <m/>
    <d v="2026-10-18T03:00:00"/>
    <s v="In Transit-Approved"/>
    <d v="2026-11-02T00:00:00"/>
    <n v="7"/>
    <d v="2026-10-25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9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1-02T00:00:00"/>
    <m/>
    <m/>
    <s v="OOCL SPAIN 013W"/>
    <s v="COSCO"/>
    <s v="TPVB20260835016"/>
    <x v="630"/>
    <s v="COSU6464353550"/>
    <n v="49.161539351851388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7T09:30:00"/>
    <s v=""/>
    <d v="2026-10-11T00:00:00"/>
    <m/>
    <s v=""/>
    <m/>
    <s v="OOCL SPAIN 013W"/>
    <s v="COSCO"/>
    <s v="TPVB20260835014"/>
    <x v="631"/>
    <s v="COSU6463656670"/>
    <n v="23.604166666664241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18"/>
    <x v="632"/>
    <s v="COSU6463840480"/>
    <n v="41.925625000003492"/>
    <m/>
    <d v="2026-10-14T08:00:00"/>
    <s v="In Transit-Approved"/>
    <d v="2026-10-16T00:00:00"/>
    <n v="7"/>
    <d v="2026-10-21T08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9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22"/>
    <x v="633"/>
    <s v="COSU6463840480"/>
    <n v="41.925625000003492"/>
    <m/>
    <d v="2026-10-14T08:00:00"/>
    <s v="In Stock-Approved"/>
    <d v="2026-10-10T00:00:00"/>
    <n v="0"/>
    <d v="2026-10-14T08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9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4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9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5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9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9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9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7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9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9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9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9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296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9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296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296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0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1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8T13:30:00"/>
    <s v=""/>
    <m/>
    <s v="OOCL INDONESIA 037W"/>
    <s v="COSCO"/>
    <s v="TPVB20260835019"/>
    <x v="642"/>
    <s v="COSU6464354100"/>
    <n v="50.5625"/>
    <m/>
    <d v="2026-10-28T13:30:00"/>
    <s v="In Transit-Approved"/>
    <d v="2026-11-03T00:00:00"/>
    <n v="10"/>
    <d v="2026-11-07T13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3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d v="2026-09-08T00:00:00"/>
    <n v="37"/>
    <s v="POPV260911060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d v="2026-09-08T00:00:00"/>
    <n v="37"/>
    <s v="POPV260911049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d v="2026-09-06T00:00:00"/>
    <n v="36"/>
    <s v="POPV260911046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d v="2026-09-06T00:00:00"/>
    <n v="36"/>
    <s v="POPV260911050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9-06T00:00:00"/>
    <n v="36"/>
    <s v="POPV260911053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d v="2026-09-06T00:00:00"/>
    <n v="36"/>
    <s v="POPV260911061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9-06T00:00:00"/>
    <n v="36"/>
    <s v="POPV260911054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8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9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d v="2026-09-04T00:00:00"/>
    <n v="36"/>
    <s v="POPV260911032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9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d v="2026-09-04T00:00:00"/>
    <n v="36"/>
    <s v="POPV260911045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5"/>
    <x v="650"/>
    <s v="COSU9509312590"/>
    <n v="63.329710648147739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7"/>
    <x v="651"/>
    <s v="COSU9509256240"/>
    <n v="63.329710648147739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4T08:00:00"/>
    <s v=""/>
    <m/>
    <s v="COSCO SHIPPING UNIVERSE 036W"/>
    <s v="COSCO"/>
    <s v="TPVB20260835009"/>
    <x v="652"/>
    <s v="COSU9509255750"/>
    <n v="36.687337962968741"/>
    <m/>
    <d v="2026-10-14T08:00:00"/>
    <s v="-"/>
    <s v=""/>
    <n v="7"/>
    <d v="2026-10-21T08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8T00:00:00"/>
    <m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4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8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18T01:00:00"/>
    <s v=""/>
    <m/>
    <s v="OOCL VALENCIA 011W"/>
    <s v="COSCO"/>
    <s v="TPVB20260936008"/>
    <x v="661"/>
    <s v="COSU6464780390"/>
    <n v="38.938125000000582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9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19T20:00:00"/>
    <s v=""/>
    <m/>
    <s v="COSCO SHIPPING STAR 030W"/>
    <s v="COSCO"/>
    <s v="TPVB20260936009"/>
    <x v="662"/>
    <s v="COSU6464774420"/>
    <n v="36.246435185188602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9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1T21:00:00"/>
    <s v=""/>
    <m/>
    <s v="EVER APEX 1417-015W"/>
    <s v="COSCO"/>
    <s v="TPVB20260936011"/>
    <x v="663"/>
    <s v="COSU6464775680"/>
    <n v="39.158414351848478"/>
    <m/>
    <d v="2026-10-21T21:00:00"/>
    <s v="-"/>
    <s v=""/>
    <n v="0"/>
    <d v="2026-10-21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9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5T09:30:00"/>
    <s v=""/>
    <m/>
    <s v="OOCL UNITED KINGDOM 038W"/>
    <s v="COSCO"/>
    <s v="TPVB20260936012"/>
    <x v="664"/>
    <s v="COSU6464778420"/>
    <n v="43.859861111115606"/>
    <m/>
    <d v="2026-10-25T09:30:00"/>
    <s v="-"/>
    <s v=""/>
    <n v="0"/>
    <d v="2026-10-25T09:3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m/>
    <m/>
    <m/>
    <s v="CMA CGM PATAGONIA 0MEOPW1MA"/>
    <s v="COSCO"/>
    <s v="TPVB20260936013"/>
    <x v="665"/>
    <s v="COSU6464781690"/>
    <n v="38.166909722225682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6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6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m/>
    <s v=""/>
    <m/>
    <s v="COSCO SHIPPING ROSE 047W"/>
    <s v="COSCO"/>
    <s v="TPVB20260936015"/>
    <x v="667"/>
    <s v="COSU6464784160"/>
    <n v="43.92229166666948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m/>
    <s v=""/>
    <m/>
    <s v="CMA CGM PATAGONIA 0MEOPW1MA"/>
    <s v="COSCO"/>
    <s v="TPVB20260936016"/>
    <x v="668"/>
    <s v="COSU6465498240"/>
    <n v="32.166909722225682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9"/>
    <s v=""/>
    <s v="八月30日"/>
    <m/>
    <s v=""/>
    <m/>
    <m/>
    <s v="TIANJIN"/>
    <x v="0"/>
    <x v="0"/>
    <m/>
    <m/>
    <m/>
    <m/>
    <m/>
    <m/>
    <m/>
    <m/>
    <s v="COSCO"/>
    <m/>
    <x v="296"/>
    <m/>
    <n v="0"/>
    <m/>
    <d v="2026-12-01T00:00:00"/>
    <s v="-"/>
    <s v=""/>
    <n v="8"/>
    <d v="2026-12-09T00:00:00"/>
    <n v="2026"/>
    <n v="12"/>
    <n v="50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8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s v="COSCO"/>
    <m/>
    <x v="296"/>
    <m/>
    <n v="0"/>
    <m/>
    <d v="2026-12-08T00:00:00"/>
    <s v="-"/>
    <d v="1899-12-30T00:00:00"/>
    <n v="8"/>
    <d v="2026-12-16T00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d v="2026-09-14T00:00:00"/>
    <n v="38"/>
    <m/>
    <m/>
    <s v="NINGBO"/>
    <x v="3"/>
    <x v="1"/>
    <d v="2026-09-15T00:00:00"/>
    <m/>
    <m/>
    <d v="2026-10-18T00:00:00"/>
    <m/>
    <m/>
    <m/>
    <s v="COSCO SHIPPING STAR 030W"/>
    <s v="COSCO"/>
    <s v="TPVB20260936003"/>
    <x v="669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NINGBO"/>
    <x v="3"/>
    <x v="1"/>
    <d v="2026-09-17T00:00:00"/>
    <m/>
    <m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m/>
    <d v="2026-11-04T00:00:00"/>
    <m/>
    <m/>
    <m/>
    <s v="OOCL FINLAND 009W"/>
    <s v="COSCO"/>
    <s v="TPVB20260937012"/>
    <x v="671"/>
    <s v="COSU6465715640"/>
    <n v="51"/>
    <m/>
    <d v="2026-11-04T00:00:00"/>
    <s v="-"/>
    <s v="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m/>
    <m/>
    <s v="SHANGHAI"/>
    <x v="1"/>
    <x v="1"/>
    <d v="2026-09-14T00:00:00"/>
    <d v="2026-09-20T00:00:00"/>
    <m/>
    <d v="2026-10-24T00:00:00"/>
    <m/>
    <m/>
    <m/>
    <s v="CMA CGM SEINE / 0FMMWW1MA"/>
    <s v="OTHER"/>
    <s v="TPVB20260937001 "/>
    <x v="296"/>
    <s v="CHN3908478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d v="2026-09-15T00:00:00"/>
    <n v="38"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24"/>
    <m/>
    <m/>
    <d v="2026-10-24T00:00:00"/>
    <s v="-"/>
    <d v="1899-12-30T00:00:00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SHANGHAI"/>
    <x v="1"/>
    <x v="1"/>
    <d v="2026-09-14T00:00:00"/>
    <m/>
    <s v=""/>
    <d v="2026-10-24T00:00:00"/>
    <m/>
    <s v=""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2"/>
    <s v="COSU6465717250"/>
    <n v="33.999305555553292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2"/>
    <s v="COSU6465717250"/>
    <n v="33.999305555553292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m/>
    <s v=""/>
    <d v="2026-10-31T00:00:00"/>
    <m/>
    <s v=""/>
    <m/>
    <s v="COSCO FORTUNE 084W"/>
    <s v="COSCO"/>
    <s v="TPVB20260937006"/>
    <x v="673"/>
    <s v="COSU6466066070"/>
    <n v="49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7T09:30:00"/>
    <s v=""/>
    <d v="2026-10-31T00:00:00"/>
    <d v="2026-10-31T19:00:00"/>
    <s v=""/>
    <m/>
    <s v="COSCO FORTUNE 084W"/>
    <s v="COSCO"/>
    <s v="TPVB20260937006"/>
    <x v="673"/>
    <s v="COSU6466066070"/>
    <n v="44.395833333328483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9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m/>
    <m/>
    <s v="SHANGHAI"/>
    <x v="1"/>
    <x v="1"/>
    <d v="2026-09-20T00:00:00"/>
    <m/>
    <m/>
    <d v="2026-10-26T00:00:00"/>
    <m/>
    <m/>
    <m/>
    <s v="COSCO SHIPPING ARIES 038W"/>
    <s v="COSCO"/>
    <s v="TPVB20260937008"/>
    <x v="674"/>
    <s v="COSU6466067620"/>
    <m/>
    <m/>
    <d v="2026-10-26T00:00:00"/>
    <s v="-"/>
    <d v="1899-12-30T00:00:00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d v="2026-09-16T00:00:00"/>
    <n v="38"/>
    <m/>
    <m/>
    <s v="SHANGHAI"/>
    <x v="1"/>
    <x v="1"/>
    <d v="2026-09-19T00:00:00"/>
    <m/>
    <m/>
    <d v="2026-10-21T00:00:00"/>
    <m/>
    <m/>
    <m/>
    <s v="EVER GLOBE 1418-027W"/>
    <s v="OTHER"/>
    <s v="TPVB20260937003"/>
    <x v="675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9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d v="2026-09-16T00:00:00"/>
    <n v="38"/>
    <m/>
    <m/>
    <s v="SHANGHAI"/>
    <x v="1"/>
    <x v="1"/>
    <d v="2026-09-19T00:00:00"/>
    <m/>
    <s v=""/>
    <d v="2026-10-21T00:00:00"/>
    <m/>
    <s v=""/>
    <m/>
    <s v="EVER GLOBE 1418-027W"/>
    <s v="OTHER"/>
    <s v="TPVB20260937003"/>
    <x v="675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d v="2026-09-11T00:00:00"/>
    <d v="2026-09-11T00:00:00"/>
    <n v="37"/>
    <m/>
    <m/>
    <s v="SHANGHAI"/>
    <x v="1"/>
    <x v="0"/>
    <d v="2026-09-17T00:00:00"/>
    <d v="2026-09-14T16:30:00"/>
    <m/>
    <d v="2026-10-28T00:00:00"/>
    <d v="2026-10-28T06:00:00"/>
    <m/>
    <m/>
    <s v="CMA CGM KERGUELEN _x000a_0MEORW1MA"/>
    <s v="COSCO"/>
    <s v="TPVB20260937009"/>
    <x v="676"/>
    <s v="COSU6465719640"/>
    <n v="43.56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s v=""/>
    <s v=""/>
    <d v="2026-11-04T00:00:00"/>
    <m/>
    <m/>
    <m/>
    <s v="EUGEN MAERSK"/>
    <s v="OTHER"/>
    <s v="TPVB20260936002"/>
    <x v="677"/>
    <n v="276098842"/>
    <n v="52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m/>
    <m/>
    <s v="SHANGHAI"/>
    <x v="1"/>
    <x v="22"/>
    <d v="2026-09-15T00:00:00"/>
    <s v=""/>
    <s v=""/>
    <d v="2026-10-29T00:00:00"/>
    <m/>
    <s v=""/>
    <m/>
    <s v="CSCL PACIFIC OCEAN 067W"/>
    <s v="OTHER"/>
    <s v="TPVB20260836004"/>
    <x v="678"/>
    <s v="EGLV149607783982"/>
    <n v="44"/>
    <m/>
    <d v="2026-10-29T00:00:00"/>
    <s v="-"/>
    <d v="1899-12-30T00:00:00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m/>
    <m/>
    <s v="SHANGHAI"/>
    <x v="1"/>
    <x v="22"/>
    <d v="2026-09-15T00:00:00"/>
    <s v=""/>
    <s v=""/>
    <d v="2026-11-06T00:00:00"/>
    <m/>
    <s v=""/>
    <m/>
    <s v="TEXAS TRIUMPH 039W"/>
    <s v="OTHER"/>
    <s v="TPVB20260837002"/>
    <x v="679"/>
    <s v="EGLV149608078905"/>
    <n v="52"/>
    <m/>
    <d v="2026-11-06T00:00:00"/>
    <s v="-"/>
    <d v="1899-12-30T00:00:00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m/>
    <s v=""/>
    <m/>
    <m/>
    <s v="SHANGHAI"/>
    <x v="1"/>
    <x v="9"/>
    <d v="2026-09-30T00:00:00"/>
    <m/>
    <s v=""/>
    <d v="2026-11-12T00:00:00"/>
    <d v="2026-11-12T03:00:00"/>
    <s v=""/>
    <m/>
    <s v="OOCL TURKIYE 012W"/>
    <s v="COSCO"/>
    <s v="TPVB20260938001"/>
    <x v="680"/>
    <s v="COSU6466858750"/>
    <n v="43.125"/>
    <m/>
    <d v="2026-11-12T03:00:00"/>
    <s v="-"/>
    <d v="1899-12-30T00:00:00"/>
    <n v="0"/>
    <d v="2026-11-12T03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m/>
    <m/>
    <s v="SHANGHAI"/>
    <x v="1"/>
    <x v="1"/>
    <d v="2026-09-22T00:00:00"/>
    <d v="2026-09-23T10:00:00"/>
    <s v=""/>
    <d v="2026-10-28T00:00:00"/>
    <m/>
    <s v=""/>
    <m/>
    <s v="EVER ALLY 1419-004W"/>
    <s v="COSCO"/>
    <s v="TPVB20260938004"/>
    <x v="681"/>
    <s v="COSU6467013360"/>
    <n v="34.583333333335759"/>
    <m/>
    <d v="2026-10-28T00:00:00"/>
    <s v="-"/>
    <d v="1899-12-30T00:00:00"/>
    <n v="7"/>
    <d v="2026-11-04T00:00:00"/>
    <s v="n/a"/>
    <s v="n/a"/>
    <n v="45"/>
    <n v="36"/>
    <n v="720"/>
    <s v="Redirection Film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s v="9.18 to be assured"/>
    <m/>
    <s v=""/>
    <m/>
    <m/>
    <s v="SHANGHAI"/>
    <x v="1"/>
    <x v="4"/>
    <d v="2026-09-27T00:00:00"/>
    <d v="2026-09-25T05:30:00"/>
    <s v=""/>
    <d v="2026-11-11T00:00:00"/>
    <m/>
    <s v=""/>
    <m/>
    <s v="OOCL SCANDINAVIA 038W"/>
    <s v="COSCO"/>
    <s v="TPVB20260938005"/>
    <x v="682"/>
    <s v="COSU6467015120"/>
    <n v="46.770833333335759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d v="2026-09-14T00:00:00"/>
    <n v="38"/>
    <m/>
    <m/>
    <s v="SHANGHAI"/>
    <x v="1"/>
    <x v="0"/>
    <d v="2026-09-23T00:00:00"/>
    <d v="2026-09-23T00:30:00"/>
    <s v=""/>
    <d v="2026-11-04T00:00:00"/>
    <d v="2026-11-04T06:00:00"/>
    <s v=""/>
    <m/>
    <s v="CMA CGM MARCO POLO _x000a_0MEOTW1MA"/>
    <s v="COSCO"/>
    <s v="TPVB20260938006"/>
    <x v="683"/>
    <s v="COSU6467017560"/>
    <n v="42.229166666664241"/>
    <m/>
    <d v="2026-11-04T06:00:00"/>
    <s v="-"/>
    <d v="1899-12-30T00:00:00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m/>
    <m/>
    <s v=""/>
    <m/>
    <m/>
    <s v="SHANGHAI"/>
    <x v="1"/>
    <x v="0"/>
    <d v="2026-09-27T00:00:00"/>
    <d v="2026-09-25T05:30:00"/>
    <s v=""/>
    <d v="2026-11-16T00:00:00"/>
    <m/>
    <s v=""/>
    <m/>
    <s v="OOCL SCANDINAVIA 038W"/>
    <s v="COSCO"/>
    <s v="TPVB20260938007"/>
    <x v="684"/>
    <s v="COSU6467016280"/>
    <n v="51.770833333335759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m/>
    <s v=""/>
    <m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85"/>
    <s v="COSU6467090510"/>
    <n v="54.770833333335759"/>
    <m/>
    <d v="2026-11-19T00:00:00"/>
    <s v="-"/>
    <d v="1899-12-30T00:00:00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85"/>
    <s v="COSU6467090510"/>
    <n v="54.770833333335759"/>
    <m/>
    <d v="2026-11-19T00:00:00"/>
    <s v="-"/>
    <d v="1899-12-30T00:00:00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86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87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m/>
    <m/>
    <m/>
    <m/>
    <m/>
    <m/>
    <m/>
    <m/>
    <m/>
    <m/>
    <x v="296"/>
    <m/>
    <n v="0"/>
    <m/>
    <d v="2026-11-10T00:00:00"/>
    <s v="-"/>
    <d v="1899-12-30T00:00:00"/>
    <n v="8"/>
    <d v="2026-11-18T00:00:00"/>
    <n v="2026"/>
    <n v="11"/>
    <n v="47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s v="n/a"/>
    <s v="n/a"/>
    <n v="49"/>
    <n v="36"/>
    <n v="792"/>
    <s v="Black glazing"/>
    <s v="AEM"/>
  </r>
  <r>
    <s v="26Aug025.04"/>
    <s v="Yixing"/>
    <s v="26Aug025"/>
    <s v="UPP"/>
    <x v="1"/>
    <s v="SPTN Offstore in Transit WH"/>
    <s v="CIF"/>
    <x v="10"/>
    <s v="U4"/>
    <x v="179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d v="2026-09-17T00:00:00"/>
    <n v="38"/>
    <m/>
    <m/>
    <s v="SHANGHAI"/>
    <x v="1"/>
    <x v="1"/>
    <m/>
    <m/>
    <s v=""/>
    <m/>
    <m/>
    <s v=""/>
    <m/>
    <m/>
    <s v="OTHER"/>
    <m/>
    <x v="296"/>
    <m/>
    <n v="0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13"/>
    <s v="Quzhou"/>
    <s v="Main Line"/>
    <s v="UPP"/>
    <x v="3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1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d v="1899-12-30T00:00:00"/>
    <n v="0"/>
    <d v="2026-11-06T00:00:00"/>
    <n v="2026"/>
    <n v="11"/>
    <n v="45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3744"/>
    <n v="1.83456"/>
    <n v="104"/>
    <n v="4"/>
    <x v="18"/>
    <s v=""/>
    <s v="Batch 1-11，9/21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9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"/>
    <s v="Batch 1-11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2808"/>
    <n v="1.37592"/>
    <n v="78"/>
    <n v="3"/>
    <x v="19"/>
    <s v=""/>
    <d v="2026-09-27T00:00:00"/>
    <m/>
    <s v=""/>
    <m/>
    <m/>
    <s v="NINGBO"/>
    <x v="3"/>
    <x v="1"/>
    <m/>
    <m/>
    <s v=""/>
    <m/>
    <m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7"/>
    <m/>
    <s v=""/>
    <m/>
    <m/>
    <s v="NINGBO"/>
    <x v="3"/>
    <x v="1"/>
    <m/>
    <m/>
    <s v=""/>
    <m/>
    <m/>
    <s v=""/>
    <m/>
    <m/>
    <s v="COSCO"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，9/23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，9/22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"/>
    <s v="Quzhou"/>
    <s v="Main Line"/>
    <s v="UPP"/>
    <x v="3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4.01"/>
    <s v="Quzhou"/>
    <s v="26Aug014"/>
    <s v="UPP"/>
    <x v="1"/>
    <s v="SPTN Offstore in Transit WH"/>
    <s v="CIF"/>
    <x v="10"/>
    <s v="U4"/>
    <x v="179"/>
    <s v="DE0126080300006"/>
    <n v="2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m/>
    <s v=""/>
    <m/>
    <m/>
    <s v="SHANGHAI"/>
    <x v="1"/>
    <x v="1"/>
    <d v="2026-09-25T00:00:00"/>
    <m/>
    <s v=""/>
    <d v="2026-11-07T00:00:00"/>
    <m/>
    <s v=""/>
    <m/>
    <s v="COSCO SHIPPING ALPS 049W"/>
    <s v="COSCO"/>
    <s v="TPVB20260838006"/>
    <x v="689"/>
    <s v="COSU6466631520"/>
    <n v="43"/>
    <m/>
    <d v="2026-11-07T00:00:00"/>
    <s v="-"/>
    <s v=""/>
    <n v="0"/>
    <d v="2026-11-07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，9/21"/>
    <m/>
    <s v=""/>
    <m/>
    <m/>
    <s v="SHANGHAI"/>
    <x v="1"/>
    <x v="1"/>
    <m/>
    <m/>
    <s v=""/>
    <m/>
    <m/>
    <s v=""/>
    <m/>
    <m/>
    <s v="COSCO"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9"/>
    <s v="DE0126080300006"/>
    <n v="3"/>
    <s v="Yes"/>
    <m/>
    <x v="3"/>
    <x v="104"/>
    <s v="S4-DG485-108BC-FB"/>
    <s v="EVO2A"/>
    <s v="±1200mm"/>
    <n v="485"/>
    <n v="1872"/>
    <n v="0.90791999999999995"/>
    <n v="52"/>
    <n v="2"/>
    <x v="19"/>
    <s v=""/>
    <s v="Batch 1-11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7488"/>
    <n v="3.6316799999999998"/>
    <n v="208"/>
    <n v="8"/>
    <x v="20"/>
    <s v=""/>
    <s v="Batch 3-11，9/24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5616"/>
    <n v="2.72376"/>
    <n v="156"/>
    <n v="6"/>
    <x v="20"/>
    <s v=""/>
    <s v="Batch 3-5，9/24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8424"/>
    <n v="4.0856399999999997"/>
    <n v="234"/>
    <n v="9"/>
    <x v="23"/>
    <s v=""/>
    <s v="Batch 4-8"/>
    <m/>
    <s v=""/>
    <m/>
    <m/>
    <s v="SHANGHAI"/>
    <x v="1"/>
    <x v="1"/>
    <m/>
    <m/>
    <s v=""/>
    <m/>
    <m/>
    <s v=""/>
    <m/>
    <m/>
    <s v="COSCO"/>
    <m/>
    <x v="296"/>
    <m/>
    <n v="0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3T00:00:00"/>
    <n v="36"/>
    <s v="POPV260904013"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9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4T00:00:00"/>
    <n v="36"/>
    <s v="POPV260911066"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91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m/>
    <s v=""/>
    <m/>
    <m/>
    <s v="TIANJIN"/>
    <x v="0"/>
    <x v="1"/>
    <d v="2026-09-19T00:00:00"/>
    <m/>
    <s v=""/>
    <d v="2026-11-03T00:00:00"/>
    <m/>
    <s v=""/>
    <s v="CIF"/>
    <s v="COSCO SHIPPING GEMINI 037W"/>
    <s v="COSCO"/>
    <s v="TPVB20260838004"/>
    <x v="692"/>
    <s v="COSU9509786940"/>
    <n v="45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d v="2026-09-09T00:00:00"/>
    <d v="2026-09-11T00:00:00"/>
    <n v="37"/>
    <m/>
    <m/>
    <s v="NINGBO"/>
    <x v="3"/>
    <x v="0"/>
    <d v="2026-09-15T00:00:00"/>
    <m/>
    <m/>
    <d v="2026-09-28T00:00:00"/>
    <m/>
    <m/>
    <m/>
    <s v="CMA CGM KERGUELEN 0MEORW"/>
    <s v="COSCO"/>
    <s v="TPVB20260936017"/>
    <x v="693"/>
    <s v="COSU9509736950"/>
    <n v="13"/>
    <m/>
    <d v="2026-09-28T00:00:00"/>
    <s v="-"/>
    <d v="1899-12-30T00:00:00"/>
    <n v="8"/>
    <d v="2026-10-06T00:00:00"/>
    <n v="2026"/>
    <n v="10"/>
    <n v="41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m/>
    <s v=""/>
    <m/>
    <m/>
    <s v="NINGBO"/>
    <x v="3"/>
    <x v="0"/>
    <d v="2026-09-17T00:00:00"/>
    <m/>
    <m/>
    <d v="2026-11-02T00:00:00"/>
    <m/>
    <m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NINGBO"/>
    <x v="3"/>
    <x v="0"/>
    <d v="2026-09-17T00:00:00"/>
    <m/>
    <s v=""/>
    <d v="2026-11-02T00:00:00"/>
    <m/>
    <s v=""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m/>
    <m/>
    <d v="2026-11-09T00:00:00"/>
    <m/>
    <m/>
    <m/>
    <s v="EVER GRADE 029W"/>
    <s v="COSCO"/>
    <s v="TPVB20260936019"/>
    <x v="695"/>
    <s v="COSU9509739210"/>
    <n v="47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696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8:30:00"/>
    <s v=""/>
    <s v="CIF"/>
    <s v="COSCO SHIPPING ARIES 038W"/>
    <s v="COSCO"/>
    <s v="TPVB20260836006"/>
    <x v="697"/>
    <s v="COSU9509531180"/>
    <n v="66.906307870369346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4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698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9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0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00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01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02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d v="2026-09-16T00:00:00"/>
    <n v="38"/>
    <m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703"/>
    <s v="COSU9509811770"/>
    <n v="32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d v="2026-09-21T18:00:00"/>
    <s v=""/>
    <d v="2026-10-23T00:00:00"/>
    <m/>
    <m/>
    <m/>
    <s v="EVER GLOBE 1418W"/>
    <s v="COSCO"/>
    <s v="TPVB20260937010"/>
    <x v="704"/>
    <s v="COSU9509811250"/>
    <n v="31.25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m/>
    <m/>
    <s v="NINGBO"/>
    <x v="3"/>
    <x v="1"/>
    <d v="2026-09-22T00:00:00"/>
    <d v="2026-09-22T12:00:00"/>
    <s v=""/>
    <d v="2026-10-24T00:00:00"/>
    <m/>
    <m/>
    <m/>
    <s v="COSCO SHIPPING ARIES 038W"/>
    <s v="COSCO"/>
    <s v="TPVB20260937013"/>
    <x v="705"/>
    <s v="COSU9509912990"/>
    <n v="31.5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d v="2026-09-09T00:00:00"/>
    <n v="37"/>
    <s v="POPV260911035"/>
    <m/>
    <s v="NINGBO"/>
    <x v="3"/>
    <x v="9"/>
    <d v="2026-09-09T00:00:00"/>
    <m/>
    <m/>
    <d v="2026-10-28T00:00:00"/>
    <d v="2026-10-28T06:00:00"/>
    <s v=""/>
    <m/>
    <s v="OOCL VALENCIA 011W"/>
    <s v="COSCO"/>
    <s v="TPVB20260936005"/>
    <x v="706"/>
    <s v="COSU9509650560"/>
    <n v="49.25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1T20:30:00"/>
    <s v=""/>
    <m/>
    <s v="OOCL INDONESIA 037W"/>
    <s v="COSCO"/>
    <s v="TPVB20260936006"/>
    <x v="707"/>
    <s v="COSU9509488350"/>
    <n v="48.047488425923802"/>
    <m/>
    <d v="2026-11-01T20:30:00"/>
    <s v="-"/>
    <s v=""/>
    <n v="8"/>
    <d v="2026-11-09T20:30:00"/>
    <n v="2026"/>
    <n v="11"/>
    <n v="46"/>
    <n v="36"/>
    <n v="864"/>
    <s v="Black glazing"/>
    <s v="AEM"/>
  </r>
  <r>
    <s v="26Jul008"/>
    <s v="Quzhou"/>
    <s v="Main Line"/>
    <s v="CORE DG"/>
    <x v="3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4320"/>
    <n v="2.16"/>
    <n v="120"/>
    <n v="5"/>
    <x v="20"/>
    <s v=""/>
    <s v="Gdasnk，9/22"/>
    <m/>
    <s v=""/>
    <m/>
    <m/>
    <s v="SHANGHAI"/>
    <x v="1"/>
    <x v="9"/>
    <d v="2026-09-29T00:00:00"/>
    <s v=""/>
    <s v=""/>
    <d v="2026-11-18T00:00:00"/>
    <s v=""/>
    <s v=""/>
    <m/>
    <s v="OOCL GDYNIA 011W"/>
    <s v="COSCO"/>
    <m/>
    <x v="708"/>
    <s v="COSU6467808410"/>
    <n v="50"/>
    <m/>
    <d v="2026-11-18T00:00:00"/>
    <s v="-"/>
    <d v="1899-12-30T00:00:00"/>
    <n v="0"/>
    <d v="2026-11-18T00:00:00"/>
    <s v="n/a"/>
    <s v="n/a"/>
    <n v="47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m/>
    <s v=""/>
    <s v=""/>
    <m/>
    <s v=""/>
    <s v=""/>
    <m/>
    <m/>
    <m/>
    <s v="TPVB20260940001"/>
    <x v="296"/>
    <m/>
    <n v="0"/>
    <m/>
    <d v="2026-12-11T00:00:00"/>
    <s v="-"/>
    <d v="1899-12-30T00:00:00"/>
    <n v="0"/>
    <d v="2026-12-11T00:00:00"/>
    <s v="n/a"/>
    <s v="n/a"/>
    <n v="50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m/>
    <m/>
    <s v=""/>
    <m/>
    <m/>
    <s v="SHANGHAI"/>
    <x v="1"/>
    <x v="1"/>
    <m/>
    <s v=""/>
    <s v=""/>
    <m/>
    <s v=""/>
    <s v=""/>
    <m/>
    <m/>
    <s v="OTHER"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3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3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，差2k，9/14左右好"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m/>
    <s v=""/>
    <m/>
    <m/>
    <s v="TIANJIN"/>
    <x v="0"/>
    <x v="0"/>
    <d v="2026-09-19T00:00:00"/>
    <d v="2026-09-19T23:00:00"/>
    <s v=""/>
    <d v="2026-11-18T00:00:00"/>
    <d v="2026-11-18T06:00:00"/>
    <s v=""/>
    <s v="CIF"/>
    <s v="COSCO SHIPPING GEMINI 037W"/>
    <s v="COSCO"/>
    <s v="TPVB20260838007"/>
    <x v="709"/>
    <s v="COSU9509787370"/>
    <n v="59.291666666664241"/>
    <m/>
    <d v="2026-11-18T06:00:00"/>
    <s v="-"/>
    <d v="1899-12-30T00:00:00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d v="2026-09-15T00:00:00"/>
    <n v="38"/>
    <m/>
    <m/>
    <s v="NINGBO"/>
    <x v="3"/>
    <x v="1"/>
    <d v="2026-09-17T00:00:00"/>
    <m/>
    <s v=""/>
    <d v="2026-10-20T00:00:00"/>
    <m/>
    <s v=""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1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1"/>
    <m/>
    <m/>
    <s v="Yes"/>
    <m/>
    <x v="0"/>
    <x v="97"/>
    <s v="HSM-ND66-GR625"/>
    <s v="H4(Com)"/>
    <s v="+400mm/-200mm"/>
    <n v="625"/>
    <n v="720"/>
    <n v="0.45"/>
    <n v="20"/>
    <n v="1"/>
    <x v="20"/>
    <s v=""/>
    <s v="ready"/>
    <m/>
    <s v=""/>
    <m/>
    <m/>
    <s v="SHANGHAI"/>
    <x v="1"/>
    <x v="24"/>
    <m/>
    <s v=""/>
    <s v=""/>
    <m/>
    <m/>
    <s v=""/>
    <m/>
    <m/>
    <s v="COSCO"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n/a"/>
  </r>
  <r>
    <s v="26Aug025"/>
    <s v="Yixing"/>
    <s v="Main Line"/>
    <s v="UPP"/>
    <x v="3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2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10"/>
    <n v="802581991"/>
    <n v="16"/>
    <m/>
    <d v="2026-09-26T00:00:00"/>
    <s v="-"/>
    <d v="1899-12-30T00:00:00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9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9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s v="POPV260911029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1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9"/>
    <s v="DE0126080600001"/>
    <n v="2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s v="POPV260911033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1"/>
    <s v="N235186781"/>
    <n v="42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m/>
    <m/>
    <d v="2026-11-01T00:00:00"/>
    <m/>
    <m/>
    <s v="FOB"/>
    <s v="BIG GEORGE  26038E"/>
    <s v="OTHER"/>
    <s v="TPVB20260837001"/>
    <x v="712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9"/>
    <s v="DE0126080600001"/>
    <n v="5"/>
    <s v="Yes"/>
    <m/>
    <x v="3"/>
    <x v="108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m/>
    <m/>
    <d v="2026-11-01T00:00:00"/>
    <m/>
    <m/>
    <s v="FOB"/>
    <s v="BIG GEORGE  26038E"/>
    <s v="OTHER"/>
    <s v="TPVB20260837001"/>
    <x v="713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9"/>
    <s v="DE0126080600001"/>
    <n v="6"/>
    <s v="Yes"/>
    <m/>
    <x v="3"/>
    <x v="107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4"/>
    <s v="N235186779A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4"/>
    <s v="N235186779B"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9"/>
    <s v="DE0126080600001"/>
    <n v="3"/>
    <s v="Yes"/>
    <m/>
    <x v="3"/>
    <x v="107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m/>
    <m/>
    <s v="TIANJIN"/>
    <x v="0"/>
    <x v="1"/>
    <d v="2026-09-22T00:00:00"/>
    <m/>
    <m/>
    <m/>
    <m/>
    <m/>
    <s v="FOB"/>
    <s v="MSC METTE / GT637W"/>
    <s v="OTHER"/>
    <s v="TPVB20260838001"/>
    <x v="714"/>
    <s v="N235186779B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9"/>
    <s v="DE0126080600001"/>
    <n v="8"/>
    <s v="Yes"/>
    <m/>
    <x v="3"/>
    <x v="107"/>
    <s v="HSM-BD66-GR650"/>
    <s v="H4(Com)"/>
    <s v="+400mm/-200mm"/>
    <n v="650"/>
    <n v="6480"/>
    <n v="4.2119999999999997"/>
    <n v="180"/>
    <n v="9"/>
    <x v="19"/>
    <s v=""/>
    <d v="2026-09-12T00:00:00"/>
    <m/>
    <s v=""/>
    <m/>
    <m/>
    <s v="TIANJIN"/>
    <x v="0"/>
    <x v="1"/>
    <m/>
    <m/>
    <m/>
    <m/>
    <m/>
    <m/>
    <s v="FOB"/>
    <m/>
    <s v="OTHER"/>
    <s v="TPVB20260839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9"/>
    <s v="DE0126080600001"/>
    <n v="4"/>
    <s v="Yes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s v="TIANJIN"/>
    <x v="0"/>
    <x v="1"/>
    <m/>
    <m/>
    <m/>
    <m/>
    <m/>
    <m/>
    <s v="FOB"/>
    <m/>
    <s v="OTHER"/>
    <s v="TPVB20260839001"/>
    <x v="296"/>
    <m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NINGBO"/>
    <x v="3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1T00:00:00"/>
    <s v="-"/>
    <d v="1899-12-30T00:00:00"/>
    <n v="8"/>
    <d v="2026-12-09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1-24T00:00:00"/>
    <s v="-"/>
    <d v="1899-12-30T00:00:00"/>
    <n v="10"/>
    <d v="2026-12-04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04T00:00:00"/>
    <s v="-"/>
    <d v="1899-12-30T00:00:00"/>
    <n v="9"/>
    <d v="2026-12-13T00:00:00"/>
    <s v="n/a"/>
    <s v="n/a"/>
    <n v="50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0"/>
    <s v=""/>
    <s v="to be assured"/>
    <m/>
    <s v=""/>
    <m/>
    <m/>
    <s v="SHANGHAI"/>
    <x v="1"/>
    <x v="1"/>
    <m/>
    <s v=""/>
    <s v=""/>
    <m/>
    <m/>
    <s v=""/>
    <m/>
    <m/>
    <m/>
    <s v="TPVB20260939001 "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3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s v="9.19--hold on"/>
    <m/>
    <s v=""/>
    <m/>
    <m/>
    <s v="SHANGHAI"/>
    <x v="1"/>
    <x v="6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m/>
    <m/>
    <s v=""/>
    <m/>
    <m/>
    <s v="NINGBO"/>
    <x v="3"/>
    <x v="1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7"/>
    <s v="Yixing"/>
    <s v="Main Line"/>
    <s v="CORE DG"/>
    <x v="3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4"/>
    <m/>
    <m/>
    <m/>
    <m/>
    <m/>
    <m/>
    <s v="SHANGHAI"/>
    <x v="1"/>
    <x v="1"/>
    <m/>
    <s v=""/>
    <s v=""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2"/>
    <m/>
    <m/>
    <m/>
    <m/>
    <m/>
    <m/>
    <s v="SHANGHAI"/>
    <x v="1"/>
    <x v="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m/>
    <m/>
    <s v="NINGBO"/>
    <x v="3"/>
    <x v="1"/>
    <d v="2026-09-17T00:00:00"/>
    <m/>
    <s v=""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s v="ready"/>
    <m/>
    <s v=""/>
    <m/>
    <m/>
    <s v="TIANJIN"/>
    <x v="0"/>
    <x v="0"/>
    <m/>
    <s v=""/>
    <s v=""/>
    <m/>
    <m/>
    <s v=""/>
    <m/>
    <m/>
    <s v="COSCO"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，CRD DEC-to be assured"/>
    <m/>
    <s v=""/>
    <m/>
    <m/>
    <s v="SHANGHAI"/>
    <x v="1"/>
    <x v="0"/>
    <m/>
    <m/>
    <s v=""/>
    <m/>
    <m/>
    <s v=""/>
    <m/>
    <m/>
    <m/>
    <m/>
    <x v="296"/>
    <m/>
    <n v="0"/>
    <m/>
    <d v="2026-12-01T00:00:00"/>
    <s v="-"/>
    <d v="1899-12-30T00:00:00"/>
    <n v="0"/>
    <d v="2026-12-01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4"/>
    <m/>
    <m/>
    <s v="n/a"/>
    <d v="2026-09-14T00:00:00"/>
    <x v="0"/>
    <x v="109"/>
    <s v="EVO-P-HSM-ND54-DR505"/>
    <s v="EVO2A"/>
    <s v="±1200mm"/>
    <n v="505"/>
    <n v="10368"/>
    <n v="5.2358399999999996"/>
    <n v="288"/>
    <n v="12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m="1" x="27"/>
        <item m="1" x="28"/>
        <item x="20"/>
        <item x="21"/>
        <item x="22"/>
        <item m="1" x="26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16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5"/>
        <item x="576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616"/>
        <item x="619"/>
        <item x="620"/>
        <item x="623"/>
        <item x="625"/>
        <item x="626"/>
        <item x="627"/>
        <item x="698"/>
        <item x="699"/>
        <item x="608"/>
        <item x="609"/>
        <item x="607"/>
        <item x="628"/>
        <item x="629"/>
        <item x="612"/>
        <item x="600"/>
        <item x="613"/>
        <item x="614"/>
        <item x="531"/>
        <item x="568"/>
        <item x="591"/>
        <item x="593"/>
        <item x="594"/>
        <item x="597"/>
        <item x="599"/>
        <item x="602"/>
        <item x="603"/>
        <item x="617"/>
        <item x="618"/>
        <item x="548"/>
        <item x="549"/>
        <item x="567"/>
        <item x="573"/>
        <item x="574"/>
        <item x="592"/>
        <item x="595"/>
        <item x="598"/>
        <item x="601"/>
        <item x="604"/>
        <item x="630"/>
        <item x="631"/>
        <item x="632"/>
        <item x="633"/>
        <item x="634"/>
        <item x="635"/>
        <item x="636"/>
        <item x="637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700"/>
        <item x="610"/>
        <item x="659"/>
        <item x="660"/>
        <item x="622"/>
        <item x="655"/>
        <item x="707"/>
        <item x="652"/>
        <item x="605"/>
        <item x="606"/>
        <item x="656"/>
        <item x="657"/>
        <item x="658"/>
        <item x="621"/>
        <item x="615"/>
        <item x="611"/>
        <item x="653"/>
        <item x="654"/>
        <item x="690"/>
        <item x="691"/>
        <item x="540"/>
        <item x="661"/>
        <item x="662"/>
        <item x="663"/>
        <item x="664"/>
        <item x="665"/>
        <item x="696"/>
        <item x="697"/>
        <item x="577"/>
        <item x="624"/>
        <item x="667"/>
        <item x="668"/>
        <item x="669"/>
        <item x="701"/>
        <item x="702"/>
        <item x="670"/>
        <item x="710"/>
        <item x="711"/>
        <item x="706"/>
        <item x="547"/>
        <item x="596"/>
        <item x="638"/>
        <item x="639"/>
        <item x="640"/>
        <item x="666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2"/>
        <item x="693"/>
        <item x="694"/>
        <item x="695"/>
        <item x="703"/>
        <item x="704"/>
        <item x="705"/>
        <item x="709"/>
        <item x="712"/>
        <item x="713"/>
        <item x="714"/>
        <item x="708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6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2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O98" firstHeaderRow="1" firstDataRow="2" firstDataCol="2" rowPageCount="3" colPageCount="1"/>
  <pivotFields count="59">
    <pivotField axis="axisPage" compact="0" outline="0" multipleItemSelectionAllowed="1" showAll="0" defaultSubtotal="0">
      <items count="271">
        <item x="268"/>
        <item x="269"/>
        <item x="27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5"/>
        <item h="1" x="226"/>
        <item x="227"/>
        <item x="234"/>
        <item x="236"/>
        <item h="1" x="228"/>
        <item x="229"/>
        <item h="1" x="230"/>
        <item x="231"/>
        <item x="235"/>
        <item x="237"/>
        <item h="1" x="232"/>
        <item x="238"/>
        <item x="240"/>
        <item h="1" x="239"/>
        <item x="233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67"/>
        <item h="1" x="220"/>
        <item h="1" x="221"/>
        <item h="1" x="222"/>
        <item h="1" x="223"/>
        <item h="1" x="224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6">
        <item m="1" x="55"/>
        <item m="1" x="52"/>
        <item m="1" x="54"/>
        <item m="1" x="50"/>
        <item x="45"/>
        <item x="44"/>
        <item x="9"/>
        <item m="1" x="49"/>
        <item x="10"/>
        <item x="46"/>
        <item x="47"/>
        <item x="7"/>
        <item m="1" x="48"/>
        <item m="1" x="53"/>
        <item x="8"/>
        <item x="6"/>
        <item x="32"/>
        <item x="5"/>
        <item x="33"/>
        <item x="31"/>
        <item x="2"/>
        <item x="3"/>
        <item x="4"/>
        <item x="1"/>
        <item x="0"/>
        <item m="1" x="5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3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47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5"/>
        <item h="1" x="46"/>
        <item h="1" x="43"/>
        <item h="1" x="44"/>
        <item h="1" x="25"/>
        <item h="1" x="24"/>
        <item h="1" x="42"/>
        <item h="1" x="38"/>
        <item h="1" x="39"/>
        <item h="1" x="40"/>
        <item h="1" x="41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3">
        <item h="1" x="6"/>
        <item h="1" x="10"/>
        <item x="0"/>
        <item x="5"/>
        <item x="8"/>
        <item h="1" x="4"/>
        <item x="1"/>
        <item x="2"/>
        <item x="7"/>
        <item x="3"/>
        <item h="1" x="9"/>
        <item h="1" x="11"/>
        <item h="1" x="12"/>
      </items>
    </pivotField>
    <pivotField compact="0" outline="0" showAll="0" defaultSubtotal="0">
      <items count="51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3"/>
        <item x="39"/>
        <item x="38"/>
        <item x="50"/>
        <item x="40"/>
        <item x="44"/>
        <item x="37"/>
        <item x="42"/>
        <item x="41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2"/>
        <item x="3"/>
        <item m="1" x="6"/>
        <item x="1"/>
        <item h="1" x="0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43"/>
        <item x="0"/>
        <item x="1"/>
        <item x="2"/>
        <item x="3"/>
        <item x="4"/>
        <item x="5"/>
        <item x="6"/>
        <item x="7"/>
        <item m="1" x="48"/>
        <item x="8"/>
        <item x="9"/>
        <item m="1" x="4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0"/>
        <item x="22"/>
        <item x="23"/>
        <item x="24"/>
        <item x="25"/>
        <item x="26"/>
        <item m="1" x="51"/>
        <item x="27"/>
        <item x="28"/>
        <item x="29"/>
        <item m="1" x="52"/>
        <item m="1" x="54"/>
        <item m="1" x="55"/>
        <item x="33"/>
        <item x="31"/>
        <item x="32"/>
        <item x="44"/>
        <item x="45"/>
        <item x="46"/>
        <item x="47"/>
        <item m="1" x="53"/>
        <item x="10"/>
        <item x="30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0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5"/>
        <item m="1" x="49"/>
        <item x="24"/>
        <item x="38"/>
        <item x="36"/>
        <item x="39"/>
        <item x="40"/>
        <item x="44"/>
        <item x="28"/>
        <item x="37"/>
        <item x="41"/>
        <item x="42"/>
        <item x="43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1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3"/>
        <item x="37"/>
        <item x="44"/>
        <item x="50"/>
        <item x="41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2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0"/>
        <item h="1" x="189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5"/>
        <item h="1" x="177"/>
        <item h="1" x="179"/>
        <item h="1" x="178"/>
        <item h="1" x="181"/>
        <item h="1" x="182"/>
        <item h="1" x="173"/>
        <item h="1" x="176"/>
        <item h="1" x="183"/>
        <item h="1" x="180"/>
        <item h="1" x="186"/>
        <item h="1" x="192"/>
        <item h="1" x="193"/>
        <item h="1" x="172"/>
        <item h="1" x="185"/>
        <item h="1" x="187"/>
        <item h="1" x="19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09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m="1"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m="1" x="27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6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3" dataDxfId="322" tableBorderDxfId="321">
  <autoFilter ref="A1:BH463" xr:uid="{DCBF8DC5-5D67-4AB2-A114-9760136AE6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</autoFilter>
  <tableColumns count="60">
    <tableColumn id="1" xr3:uid="{4690EF3D-7F0C-4A58-8955-7E71572084A0}" name="TCL REFERENCE NO." dataDxfId="320"/>
    <tableColumn id="5" xr3:uid="{4F0B83C9-3C78-457B-9ADB-12F10F1870D1}" name="Factory Location" dataDxfId="319"/>
    <tableColumn id="10" xr3:uid="{6CD88A0A-7D94-463C-8BB1-AFBF1F8F6931}" name="FX_QTY criteria" dataDxfId="318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17"/>
    <tableColumn id="62" xr3:uid="{F7DB3954-FA04-4CDD-8FA0-5B14E4E4DBA7}" name="New Ark PO Type" dataDxfId="316"/>
    <tableColumn id="63" xr3:uid="{9E762414-B7BF-44F6-8E78-A5754C337F21}" name="New Ark WH" dataDxfId="315"/>
    <tableColumn id="2" xr3:uid="{30947979-E5E8-4256-AD03-4C325B89A5B1}" name="B/L Consignee" dataDxfId="314"/>
    <tableColumn id="4" xr3:uid="{84DF27F1-F348-41B2-8AAB-A691770FEB05}" name="TCL-HK PO INCOTERM Requested" dataDxfId="313"/>
    <tableColumn id="6" xr3:uid="{A6B101A6-1314-4F0A-A883-265DFACE569D}" name="ALLOCATION Planning" dataDxfId="312"/>
    <tableColumn id="21" xr3:uid="{39571CA6-4330-42A2-BC9D-9078E1124322}" name="Priority Level" dataDxfId="311"/>
    <tableColumn id="7" xr3:uid="{29F6F90F-0112-437D-A208-CF464311C249}" name="SPWR SO Number" dataDxfId="310"/>
    <tableColumn id="8" xr3:uid="{6A03F7EC-0609-4604-829F-B71F1FC628A7}" name="Region" dataDxfId="309"/>
    <tableColumn id="9" xr3:uid="{DCE5B142-D5AB-4C95-8BBE-CD099033C9FA}" name="G2G ?" dataDxfId="308"/>
    <tableColumn id="46" xr3:uid="{B8784B74-7B1E-4E18-828F-A3A1D85CD0F6}" name="Factory Available Date" dataDxfId="307"/>
    <tableColumn id="11" xr3:uid="{7E2771E8-6E5B-49C1-9E14-8A5474CCB339}" name="ATP Status" dataDxfId="306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05"/>
    <tableColumn id="53" xr3:uid="{FA528472-82B4-4B0E-A337-89E1ADBA609B}" name="New Ark SKU" dataDxfId="304"/>
    <tableColumn id="13" xr3:uid="{F68B01F2-068A-4D1E-9840-9FEB118900AE}" name="Oracle SKU" dataDxfId="303"/>
    <tableColumn id="14" xr3:uid="{5DF0F468-3ECE-45F9-80C3-D7169F7D3005}" name="DESCRIPTION" dataDxfId="302"/>
    <tableColumn id="15" xr3:uid="{EEA46F80-36BA-4DF9-8184-25369671BE51}" name="WATT" dataDxfId="301"/>
    <tableColumn id="16" xr3:uid="{7836B642-AA85-4DD5-A99A-0BC2AEBF9533}" name="QUANTITY" dataDxfId="300"/>
    <tableColumn id="17" xr3:uid="{1DF499B2-BE66-4B30-93FD-DEEBD8EE96CA}" name="MW" dataDxfId="299">
      <calculatedColumnFormula>PV_DATA4[[#This Row],[WATT]]*PV_DATA4[[#This Row],[QUANTITY]]/1000000</calculatedColumnFormula>
    </tableColumn>
    <tableColumn id="18" xr3:uid="{F06665C0-DBC1-4D97-96E2-34603DCDA986}" name="PALLETS" dataDxfId="298">
      <calculatedColumnFormula>U2/36</calculatedColumnFormula>
    </tableColumn>
    <tableColumn id="19" xr3:uid="{EA7D1B29-6F85-4840-96BA-DC40D424953D}" name="CONTAINERS" dataDxfId="297"/>
    <tableColumn id="20" xr3:uid="{E4C5472E-2639-48D5-A887-7CC01C3590A4}" name="STATUS" dataDxfId="296"/>
    <tableColumn id="66" xr3:uid="{93FC3083-2B9A-46A8-AAD8-64A095EBEFF9}" name="ship before 4.1?" dataDxfId="295"/>
    <tableColumn id="22" xr3:uid="{57226609-918F-40BF-BAEC-99E0E2854648}" name="Back Glass" dataDxfId="294"/>
    <tableColumn id="23" xr3:uid="{08FA0AEA-086D-4C3D-9151-03409FCE9D9D}" name="Cable Length" dataDxfId="293"/>
    <tableColumn id="24" xr3:uid="{5F3A7F07-0F05-4417-B82E-04E22A64481C}" name="Pick-Up Date" dataDxfId="292"/>
    <tableColumn id="25" xr3:uid="{75A7AB9C-A07A-4C7F-AD49-C7ECA7231EB4}" name="Pick-Up Week" dataDxfId="291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90"/>
    <tableColumn id="27" xr3:uid="{FB0C48A8-7DB0-4186-9853-CD1A4033A084}" name="SPTN-HKPV ORacle PO#" dataDxfId="289"/>
    <tableColumn id="28" xr3:uid="{3F58FDBA-6613-41D3-81CE-70D3C851F0D6}" name="PORT OF LOADING" dataDxfId="288"/>
    <tableColumn id="29" xr3:uid="{54444F52-1E13-4A01-9B20-379C7C9231C6}" name="PORT DESTINATION" dataDxfId="287"/>
    <tableColumn id="30" xr3:uid="{0BA50487-25F2-4C2D-8226-8C6987F6041A}" name="ETD On S/O" dataDxfId="286"/>
    <tableColumn id="31" xr3:uid="{B913178A-2F1D-486C-B812-388D5B043676}" name="ETD Update" dataDxfId="285"/>
    <tableColumn id="32" xr3:uid="{8A739F31-21FC-4C80-BCEB-840A41F999CE}" name="ATD PORT" dataDxfId="284"/>
    <tableColumn id="33" xr3:uid="{75CCA16E-427E-4391-9663-FC0BB51F530D}" name="ETA On S/O" dataDxfId="283"/>
    <tableColumn id="34" xr3:uid="{3BA98E37-9C49-4F93-91F6-CA65CC212D93}" name="ETA Update" dataDxfId="282"/>
    <tableColumn id="35" xr3:uid="{CC64EE0B-6C5A-4C66-AD15-81390747B7B6}" name="ATA PORT" dataDxfId="281"/>
    <tableColumn id="36" xr3:uid="{47D9CBA6-D003-4946-B9A5-9E12C8C2A7EE}" name="incoterm" dataDxfId="280"/>
    <tableColumn id="37" xr3:uid="{E3A8F415-5FE9-487A-81D2-1543178FBED8}" name="REFERENCE_x000a_V.V   " dataDxfId="279"/>
    <tableColumn id="38" xr3:uid="{A40F9677-061F-40C8-9B5E-CBD2E3DEFB85}" name="Carrier" dataDxfId="278"/>
    <tableColumn id="39" xr3:uid="{DC349D01-F557-486E-8B67-2E2439DA7EBC}" name="TCL Invoice#_x000a_or PO#" dataDxfId="277"/>
    <tableColumn id="40" xr3:uid="{A840CE08-CEC4-49BE-BC13-60E9926E8A3D}" name="MBL/HBL#" dataDxfId="276"/>
    <tableColumn id="41" xr3:uid="{DA1F505D-B6A8-4006-9B3E-C6DEC3810B21}" name="Booking #" dataDxfId="275"/>
    <tableColumn id="42" xr3:uid="{FB8C3720-9544-4688-AC89-A88C8DB669E7}" name="Leg2 leadtime On S/O" dataDxfId="274"/>
    <tableColumn id="43" xr3:uid="{D90843A6-C935-4652-99A1-874DC803BE77}" name="Telex released " dataDxfId="273"/>
    <tableColumn id="44" xr3:uid="{09980D74-1429-40BE-B11A-7C383F302F5C}" name="TBA - 1" dataDxfId="272"/>
    <tableColumn id="47" xr3:uid="{B49CC059-DF0D-46D7-9CE4-27FE099C5A46}" name="LT (pick-up to ETA)" dataDxfId="271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70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69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68">
      <calculatedColumnFormula>_xlfn.XLOOKUP(#REF!,#REF!,#REF!,,0)&amp;"-"&amp;_xlfn.XLOOKUP(#REF!,#REF!,#REF!,,0)</calculatedColumnFormula>
    </tableColumn>
    <tableColumn id="54" xr3:uid="{F61A6C49-5FE4-428F-B522-A344B7386D36}" name="New Ark ETA" dataDxfId="267">
      <calculatedColumnFormula>IF(ISERROR(#REF!),"",_xlfn.XLOOKUP(#REF!,#REF!,#REF!,"n/a",0))</calculatedColumnFormula>
    </tableColumn>
    <tableColumn id="52" xr3:uid="{81818AB7-A481-483C-A41A-51D078651687}" name="ETA WH / Port for New Ark" dataDxfId="266">
      <calculatedColumnFormula>IFERROR(PV_DATA4[[#This Row],[ODP Available Port]]+14,"n/a")</calculatedColumnFormula>
    </tableColumn>
    <tableColumn id="64" xr3:uid="{661DF4E2-5C14-4228-A8DE-9D78A0AF1703}" name="ETA WH Year" dataDxfId="265">
      <calculatedColumnFormula>YEAR(PV_DATA4[[#This Row],[ETA WH / Port for New Ark]])</calculatedColumnFormula>
    </tableColumn>
    <tableColumn id="61" xr3:uid="{A671B9BA-222D-4D54-89C6-7E10BA465FF8}" name="ETA WH Month" dataDxfId="264">
      <calculatedColumnFormula>MONTH(PV_DATA4[[#This Row],[ETA WH / Port for New Ark]])</calculatedColumnFormula>
    </tableColumn>
    <tableColumn id="56" xr3:uid="{A00E01E6-0151-4474-897B-957C04563253}" name="ETA WH Week" dataDxfId="263">
      <calculatedColumnFormula>IFERROR(_xlfn.ISOWEEKNUM(PV_DATA4[[#This Row],[ETA WH / Port for New Ark]]),0)</calculatedColumnFormula>
    </tableColumn>
    <tableColumn id="45" xr3:uid="{35858DBC-8343-4093-A0F9-BE35EB6E6D9B}" name="Qty/Pallet" dataDxfId="262"/>
    <tableColumn id="55" xr3:uid="{56ED7DCE-6D40-4025-B024-B1FC7A89DA60}" name="Qty/CT" dataDxfId="261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36" totalsRowShown="0" headerRowDxfId="260" dataDxfId="259" tableBorderDxfId="258">
  <autoFilter ref="A1:BH1236" xr:uid="{2CD5AE86-8652-4E0C-8097-37E069BF9A50}">
    <filterColumn colId="0">
      <filters>
        <filter val="26Aug007.02.02.01"/>
      </filters>
    </filterColumn>
  </autoFilter>
  <tableColumns count="60">
    <tableColumn id="1" xr3:uid="{58C3FCB6-A079-46E9-BFC3-16462428788F}" name="TCL REFERENCE" dataDxfId="257"/>
    <tableColumn id="5" xr3:uid="{EEC3BD87-F321-4ECF-B8AF-3C1A6D81CC1D}" name="Factory Location" dataDxfId="256"/>
    <tableColumn id="10" xr3:uid="{8A56B340-0958-47A3-989C-36AF4041464F}" name="FX_QTY criteria" dataDxfId="255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54"/>
    <tableColumn id="62" xr3:uid="{628F8B8A-1CB1-44C0-B8DF-1D26BB297B81}" name="New Ark PO Type" dataDxfId="253"/>
    <tableColumn id="63" xr3:uid="{5C665448-0825-4352-95E2-87CFC7F6B50A}" name="New Ark WH" dataDxfId="252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51"/>
    <tableColumn id="2" xr3:uid="{8925D154-A616-457A-9524-7BD55EE1B332}" name="B/L Consignee" dataDxfId="250"/>
    <tableColumn id="21" xr3:uid="{05C7C581-555D-48CF-B71C-4B8861400A97}" name="Priority Level" dataDxfId="249"/>
    <tableColumn id="6" xr3:uid="{A1427FC0-249D-414A-A988-31D2EAFFA02D}" name="ALLOCATION Planning" dataDxfId="248"/>
    <tableColumn id="7" xr3:uid="{65C4575B-500B-45AE-96FF-A856DBDA4BBA}" name="SPWR SO Number" dataDxfId="247"/>
    <tableColumn id="59" xr3:uid="{2FA46DD4-028C-42A9-9553-422F6F616B6B}" name="SPWR SO Line" dataDxfId="246"/>
    <tableColumn id="9" xr3:uid="{6CE758FF-FC56-4B41-8E41-E6A674E44FB5}" name="G2G / Planning" dataDxfId="245"/>
    <tableColumn id="46" xr3:uid="{1D91C7F5-621F-471B-87D2-C5011B7C5DDF}" name="Factory Available Date" dataDxfId="244"/>
    <tableColumn id="12" xr3:uid="{23F5DC22-8614-4D78-973D-A3A5A42E9920}" name="PRODUCT TYPE" dataDxfId="243"/>
    <tableColumn id="53" xr3:uid="{0EF1FE28-67C9-4E46-A8DE-C3A0FC874D78}" name="New Ark SKU" dataDxfId="242"/>
    <tableColumn id="14" xr3:uid="{ACE7D886-D688-4601-AE0F-79C59966D62B}" name="Model" dataDxfId="241"/>
    <tableColumn id="57" xr3:uid="{D518EC18-5433-4993-A1B2-59B1EEC831D4}" name="Connector" dataDxfId="240">
      <calculatedColumnFormula>_xlfn.XLOOKUP(PV_DATA[[#This Row],[New Ark SKU]],Table9[New Ark SKU],Table9[Connector],,0)</calculatedColumnFormula>
    </tableColumn>
    <tableColumn id="13" xr3:uid="{BE4E9D07-764F-413C-B86F-C36F76901770}" name="Cable Length" dataDxfId="239">
      <calculatedColumnFormula>_xlfn.XLOOKUP(PV_DATA[[#This Row],[New Ark SKU]],Table9[New Ark SKU],Table9[Cable],,0)</calculatedColumnFormula>
    </tableColumn>
    <tableColumn id="15" xr3:uid="{282DB856-518F-4DD4-A94B-2CE75288D730}" name="WATT" dataDxfId="238"/>
    <tableColumn id="16" xr3:uid="{259FCF23-5BB8-4AE3-9BE2-AB83F4A161A7}" name="QUANTITY" dataDxfId="237"/>
    <tableColumn id="17" xr3:uid="{B69E0AE1-9F0D-43B0-9C5A-EC1FC7B02C06}" name="MW" dataDxfId="236">
      <calculatedColumnFormula>PV_DATA[[#This Row],[QUANTITY]]*PV_DATA[[#This Row],[WATT]]/1000000</calculatedColumnFormula>
    </tableColumn>
    <tableColumn id="18" xr3:uid="{8BEE2A67-C491-4483-B48F-D5825C7E9EF4}" name="PALLETS" dataDxfId="235">
      <calculatedColumnFormula>PV_DATA[[#This Row],[QUANTITY]]/PV_DATA[[#This Row],[Qty/Pallet]]</calculatedColumnFormula>
    </tableColumn>
    <tableColumn id="19" xr3:uid="{DC186D4D-6148-4929-93DD-F7C0CFFB99C5}" name="CONTAINERS" dataDxfId="234"/>
    <tableColumn id="20" xr3:uid="{D4F1B3A0-2574-4696-8A72-0B8774513C0F}" name="STATUS" dataDxfId="233"/>
    <tableColumn id="22" xr3:uid="{84F10200-1A0E-481F-8143-B03E592DD3B1}" name="COMPLETED or IN-TRANSIT" dataDxfId="232">
      <calculatedColumnFormula>IF(AN2&lt;&gt;"","COMPLETED",IF(AK2&lt;&gt;"","IN-TRANSIT",""))</calculatedColumnFormula>
    </tableColumn>
    <tableColumn id="66" xr3:uid="{F20EC215-42ED-4F35-BBF8-349722AC47FF}" name="ETR" dataDxfId="231"/>
    <tableColumn id="24" xr3:uid="{F48B0F8F-CA20-43AE-BBD6-41B23540605E}" name="Pick-Up Date" dataDxfId="230"/>
    <tableColumn id="25" xr3:uid="{B4D181AD-C003-4CFA-874A-8C4D0A053CB0}" name="Pick-Up Week" dataDxfId="229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28"/>
    <tableColumn id="27" xr3:uid="{378E9EB6-5A43-4414-B3C4-BB6D0CA0969D}" name="SPTN-HKPV ORacle PO#" dataDxfId="227"/>
    <tableColumn id="28" xr3:uid="{7B6BFDE5-98C4-4D0B-A72F-3270FC98D4CF}" name="PORT OF LOADING" dataDxfId="226"/>
    <tableColumn id="44" xr3:uid="{B897D137-AEFE-451D-8204-C95B8D45A9C6}" name="POL" dataDxfId="225"/>
    <tableColumn id="29" xr3:uid="{29C63467-65EA-415E-914E-74EC0103A92A}" name="PORT DESTINATION" dataDxfId="224"/>
    <tableColumn id="30" xr3:uid="{C939EA06-4286-405B-BABC-8A0ED9B01066}" name="ETD On S/O_x000a_" dataDxfId="223"/>
    <tableColumn id="31" xr3:uid="{92412AE7-B970-4EEB-B30A-FA4E7DE233DC}" name="ETD Update" dataDxfId="222"/>
    <tableColumn id="32" xr3:uid="{46B9EA9D-6905-471E-809D-D79261790659}" name="ATD PORT" dataDxfId="221"/>
    <tableColumn id="33" xr3:uid="{08772FEE-C15C-42F4-96B5-0E5025071B36}" name="ETA On S/O" dataDxfId="220"/>
    <tableColumn id="34" xr3:uid="{BEFB425A-4BA2-4577-9E99-6FC742099518}" name="ETA Update" dataDxfId="219"/>
    <tableColumn id="35" xr3:uid="{6F5530E7-E6D7-4912-B514-1DAFD0340BB4}" name="ATA PORT" dataDxfId="218"/>
    <tableColumn id="36" xr3:uid="{68D61AF0-D5A7-497C-8FF4-466DFCBA2205}" name="Incoterm" dataDxfId="217"/>
    <tableColumn id="37" xr3:uid="{6CB8165C-90A5-4639-A0F5-F9E3F8411E38}" name="REFERENCE_x000a_V.V   " dataDxfId="216"/>
    <tableColumn id="38" xr3:uid="{7B2F96F5-2DCB-4087-AD9B-BAFAF416F4C4}" name="Carrier" dataDxfId="215"/>
    <tableColumn id="39" xr3:uid="{298CFF55-C446-4728-AE54-0083E5EB4E06}" name="TCL Invoice#_x000a_or PO#" dataDxfId="214"/>
    <tableColumn id="40" xr3:uid="{4349FA88-EB44-4DC0-8C93-2E455BB303E0}" name="MBL/HBL#" dataDxfId="213"/>
    <tableColumn id="41" xr3:uid="{98EF6CF7-4434-48BE-ACF3-99887385CDAF}" name="BOOKING#" dataDxfId="212"/>
    <tableColumn id="42" xr3:uid="{C55ABBC3-D502-4958-89C0-DBC5A6F15B47}" name="Leg2 leadtime On S/O" dataDxfId="211"/>
    <tableColumn id="43" xr3:uid="{4F9103BB-580E-42D8-AF22-069E5F3A823D}" name="Telex released " dataDxfId="210"/>
    <tableColumn id="49" xr3:uid="{02CB34BA-811E-4E08-BAC0-7080CE4D704F}" name="ODP ETA Port" dataDxfId="209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08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07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06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05">
      <calculatedColumnFormula>IFERROR(PV_DATA[[#This Row],[ODP ETA Port]]+PV_DATA[[#This Row],[Customs/Leg3 Assumption]],"n/a")</calculatedColumnFormula>
    </tableColumn>
    <tableColumn id="64" xr3:uid="{399882AC-21BE-4FED-9929-5FCF530893B8}" name="ETA Year" dataDxfId="204">
      <calculatedColumnFormula>YEAR(PV_DATA[[#This Row],[ETA for New Ark update]])</calculatedColumnFormula>
    </tableColumn>
    <tableColumn id="61" xr3:uid="{C884B4C0-89A2-4CBB-A6AA-C58868EF11DE}" name="ETA Month" dataDxfId="203">
      <calculatedColumnFormula>MONTH(PV_DATA[[#This Row],[ETA for New Ark update]])</calculatedColumnFormula>
    </tableColumn>
    <tableColumn id="56" xr3:uid="{A8ABF843-EF2A-4867-94EC-F4A345A03835}" name="ETA Week" dataDxfId="202">
      <calculatedColumnFormula>IFERROR(_xlfn.ISOWEEKNUM(PV_DATA[[#This Row],[ETA for New Ark update]]),0)</calculatedColumnFormula>
    </tableColumn>
    <tableColumn id="45" xr3:uid="{7919CC90-4323-4FD7-B3C4-FBA035887FD3}" name="Qty/Pallet" dataDxfId="201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00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99">
      <calculatedColumnFormula>_xlfn.XLOOKUP(PV_DATA[[#This Row],[New Ark SKU]],Table9[New Ark SKU],Table9[Back Glass],,0)</calculatedColumnFormula>
    </tableColumn>
    <tableColumn id="8" xr3:uid="{B4911852-797E-4555-9780-445B0A0D59B7}" name="Shipping Line" dataDxfId="198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1" totalsRowShown="0" headerRowDxfId="382" dataDxfId="381" tableBorderDxfId="380">
  <autoFilter ref="A1:BD281" xr:uid="{87F0E998-2CD5-4F64-94E3-3632216944F5}"/>
  <tableColumns count="56">
    <tableColumn id="1" xr3:uid="{164B07FE-FA5D-4F50-916E-97FCDC71802E}" name="TCL REFERENCE" dataDxfId="379"/>
    <tableColumn id="5" xr3:uid="{60408A20-D06C-47F6-A626-94F837975ED9}" name="Factory Location" dataDxfId="378"/>
    <tableColumn id="10" xr3:uid="{445C21D5-7561-469F-8237-EDB7280A4A10}" name="FX_QTY criteria" dataDxfId="377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76"/>
    <tableColumn id="56" xr3:uid="{8C256FEC-9A81-4C96-B1A2-940F92B69A5D}" name="New Ark PO Type" dataDxfId="375"/>
    <tableColumn id="12" xr3:uid="{DB9E0BCA-AB16-4ADB-93EB-3C3693E5D24F}" name="New Ark WH" dataDxfId="374"/>
    <tableColumn id="4" xr3:uid="{230421AE-4979-4F88-A4A0-066E6CB45837}" name="TCL-HK PO INCOTERM Requested" dataDxfId="373"/>
    <tableColumn id="2" xr3:uid="{CBC47365-34DC-475D-B43D-47435E871A6D}" name="B/L Consignee" dataDxfId="372"/>
    <tableColumn id="21" xr3:uid="{D4B7FE1C-89E2-43BD-BD71-0C9B2D678FB3}" name="Priority Level" dataDxfId="371"/>
    <tableColumn id="6" xr3:uid="{61268571-2AFD-4E57-835D-8DDA4B0B541E}" name="ALLOCATION Planning" dataDxfId="370"/>
    <tableColumn id="7" xr3:uid="{89A12004-F963-402B-B094-0E69186184D4}" name="SPWR SO Number" dataDxfId="369"/>
    <tableColumn id="8" xr3:uid="{7BFF381E-E066-4BEF-8155-02D3A29EEAA6}" name="SPWR SO Line" dataDxfId="368"/>
    <tableColumn id="9" xr3:uid="{6624154E-7D12-4172-B819-ACA4306E5EC5}" name="G2G / Planning" dataDxfId="367"/>
    <tableColumn id="53" xr3:uid="{4F8C3BFD-E17F-4568-B83F-719FC91B14DC}" name="New Ark SKU" dataDxfId="366"/>
    <tableColumn id="13" xr3:uid="{AF483EBE-CD54-47AB-9147-61CF3DF39D96}" name="Product Type" dataDxfId="365"/>
    <tableColumn id="14" xr3:uid="{E109EC1B-26BB-48A4-97EA-6BF288AF1823}" name="Model" dataDxfId="364"/>
    <tableColumn id="15" xr3:uid="{2E488E4B-6710-4568-9789-D003D7B302B2}" name="WATT" dataDxfId="363"/>
    <tableColumn id="16" xr3:uid="{B513C8CA-2154-4DF9-89CB-6D4E8A74EEED}" name="QUANTITY" dataDxfId="362"/>
    <tableColumn id="17" xr3:uid="{1D395D46-3A86-4EA0-8363-251D851C236C}" name="MW" dataDxfId="361"/>
    <tableColumn id="18" xr3:uid="{2F598D22-5530-46C4-AE15-22C1D7B0597D}" name="PALLETS" dataDxfId="360"/>
    <tableColumn id="19" xr3:uid="{307DE70C-E400-447A-B96A-897A6AAE54C0}" name="CONTAINERS" dataDxfId="359"/>
    <tableColumn id="11" xr3:uid="{68B4D2D8-86E4-4956-BB35-E6C666EEE327}" name="CT Mark" dataDxfId="358"/>
    <tableColumn id="20" xr3:uid="{52FBA648-196C-4450-9F2A-BC210406C2A5}" name="STATUS" dataDxfId="357"/>
    <tableColumn id="47" xr3:uid="{152741E3-D0C0-47C1-B39B-471B1AE01F69}" name="COMPLETED or IN-TRANSIT" dataDxfId="356">
      <calculatedColumnFormula>IF(AL2&lt;&gt;"","COMPLETED",IF(AI2&lt;&gt;"","IN-TRANSIT",""))</calculatedColumnFormula>
    </tableColumn>
    <tableColumn id="22" xr3:uid="{0F29C16B-EF58-415F-969B-9BD6FAFC4074}" name="ETR" dataDxfId="355"/>
    <tableColumn id="24" xr3:uid="{663E9012-517F-4551-B278-A14E14248821}" name="Pick-Up Date" dataDxfId="354"/>
    <tableColumn id="25" xr3:uid="{E82325EF-0D1B-4224-ADA8-CCB862739923}" name="Pick-Up Week" dataDxfId="353">
      <calculatedColumnFormula>WEEKNUM(ESS_DATA[[#This Row],[Pick-Up Date]])</calculatedColumnFormula>
    </tableColumn>
    <tableColumn id="26" xr3:uid="{F659C961-DC43-4489-948B-AD99CA397F6B}" name="SPTN-PVHK New Ark PO#" dataDxfId="352"/>
    <tableColumn id="27" xr3:uid="{43483E84-22C5-4C57-8F69-9272B8F315DF}" name="SPTN-HKPV ORacle PO#" dataDxfId="351"/>
    <tableColumn id="28" xr3:uid="{A02FF1E8-CBA2-43AD-A51A-57EC700BAC30}" name="PORT OF LOADING" dataDxfId="350"/>
    <tableColumn id="46" xr3:uid="{710D1DA8-1E6A-44E8-B22B-4286B299AB3E}" name="POL" dataDxfId="349"/>
    <tableColumn id="29" xr3:uid="{39BD54AA-3309-4AA1-B2AA-BF655C4CD215}" name="PORT DESTINATION" dataDxfId="348"/>
    <tableColumn id="30" xr3:uid="{3F236515-A709-4BCE-A72B-E92AEC37A716}" name="ETD On S/O" dataDxfId="347"/>
    <tableColumn id="31" xr3:uid="{2AF6FC64-262B-4F04-9128-5E321414AA4E}" name="ETD Update" dataDxfId="346"/>
    <tableColumn id="32" xr3:uid="{CDC56BD0-9EFC-49D7-B5B2-C0797F738950}" name="ATD PORT" dataDxfId="345"/>
    <tableColumn id="33" xr3:uid="{866005B1-8964-459B-BDB8-9AE43E472DAD}" name="ETA On S/O" dataDxfId="344"/>
    <tableColumn id="34" xr3:uid="{038A7FF5-4C46-4E1C-A79C-1AA36D8B0EA0}" name="ETA Update" dataDxfId="343"/>
    <tableColumn id="35" xr3:uid="{9D8678AE-D215-424F-890A-FF210257888D}" name="ATA PORT" dataDxfId="342"/>
    <tableColumn id="36" xr3:uid="{D9754626-D407-41E2-B4F3-DFF5D6BB8705}" name="Incoterm" dataDxfId="341"/>
    <tableColumn id="37" xr3:uid="{9ACAC7EB-10F7-4278-8654-3827DB84D0AA}" name="REFERENCE_x000a_V.V   " dataDxfId="340"/>
    <tableColumn id="38" xr3:uid="{F01D2D0B-F990-4F78-AF1E-6BCA91231C4A}" name="Carrier" dataDxfId="339"/>
    <tableColumn id="39" xr3:uid="{977AECB1-FF6E-4739-B291-169D2686671F}" name="TCL Invoice#_x000a_or PO#" dataDxfId="338"/>
    <tableColumn id="40" xr3:uid="{10A28AB6-1AF2-445C-BDB2-93AB8DE0CB32}" name="MBL/HBL#" dataDxfId="337"/>
    <tableColumn id="41" xr3:uid="{217AFB9C-D91C-4D63-8BE5-4ABA7597E912}" name="BOOKING#" dataDxfId="336"/>
    <tableColumn id="42" xr3:uid="{B69F9B2D-2CD3-4C74-9904-73AAC0F2E949}" name="Leg2 leadtime On S/O" dataDxfId="335">
      <calculatedColumnFormula>ESS_DATA[[#This Row],[ETA On S/O]]-ESS_DATA[[#This Row],[ETD On S/O]]+1</calculatedColumnFormula>
    </tableColumn>
    <tableColumn id="43" xr3:uid="{DD0AEF34-6623-450C-AFAE-285D1C6BCE46}" name="Telex released " dataDxfId="334"/>
    <tableColumn id="49" xr3:uid="{C4DBB245-A08C-4D4A-857E-7173C42116CF}" name="ODP ETA Port" dataDxfId="333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32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31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30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29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28">
      <calculatedColumnFormula>YEAR(ESS_DATA[[#This Row],[ETA for New Ark update]])</calculatedColumnFormula>
    </tableColumn>
    <tableColumn id="59" xr3:uid="{B7184CA7-A536-4071-BB59-01C430FC22E2}" name="ETA Month" dataDxfId="327">
      <calculatedColumnFormula>MONTH(ESS_DATA[[#This Row],[ETA for New Ark update]])</calculatedColumnFormula>
    </tableColumn>
    <tableColumn id="61" xr3:uid="{46BAFF0C-6875-4274-ACC1-A20D785D1BFB}" name="ETA Week" dataDxfId="326">
      <calculatedColumnFormula>IFERROR(_xlfn.ISOWEEKNUM(ESS_DATA[[#This Row],[ETA for New Ark update]]),0)</calculatedColumnFormula>
    </tableColumn>
    <tableColumn id="60" xr3:uid="{335D7C13-45DA-415C-8B7B-6132E4DC3F57}" name="Shipping Line" dataDxfId="325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24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97" dataDxfId="195" headerRowBorderDxfId="196" tableBorderDxfId="194">
  <autoFilter ref="B3:J1656" xr:uid="{35CFA5FF-2652-4E85-97C6-CBCA12E20C4F}"/>
  <tableColumns count="9">
    <tableColumn id="1" xr3:uid="{3A387282-99BA-411D-9040-C65565DC4945}" name="Purchase order Number" dataDxfId="193"/>
    <tableColumn id="5" xr3:uid="{DC2B7997-5EC8-4430-81AD-C495A2D8A8FB}" name="Purchase Type" dataDxfId="192"/>
    <tableColumn id="2" xr3:uid="{48AB4FF4-9389-4180-AA3C-7383821C556F}" name="TMS bill Number / voucher bill Number" dataDxfId="191"/>
    <tableColumn id="7" xr3:uid="{35F219BD-F9A2-4C54-9DE9-3D8AF3B0F1F6}" name="Customer Po" dataDxfId="190"/>
    <tableColumn id="9" xr3:uid="{E7A5B0A9-52B0-4294-8020-222C47DE3F54}" name="Category" dataDxfId="189"/>
    <tableColumn id="8" xr3:uid="{3904192B-F362-46B6-A8C2-508AF6FDD704}" name="Estimated time of arrival" dataDxfId="188"/>
    <tableColumn id="3" xr3:uid="{FDDF12EC-4215-4204-9A1E-C62BE8343C2D}" name="Status" dataDxfId="187"/>
    <tableColumn id="6" xr3:uid="{844AC0CB-87A8-4F6F-86E2-AC294041AF82}" name="Approval Status" dataDxfId="186"/>
    <tableColumn id="4" xr3:uid="{9394E5D1-E5F3-48B4-9238-8113AA8F541B}" name="Note" dataDxfId="18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4" dataDxfId="182" headerRowBorderDxfId="183" tableBorderDxfId="181" totalsRowBorderDxfId="180">
  <autoFilter ref="C1:R4" xr:uid="{850BF759-E8E5-408F-AF26-A1EEC80CE9C5}"/>
  <tableColumns count="16">
    <tableColumn id="1" xr3:uid="{C3677118-50F8-45C9-96A1-5194E4E5EC20}" name="ALLOCATION REQUEST" dataDxfId="179"/>
    <tableColumn id="2" xr3:uid="{8B25345F-0C83-40F7-9E02-740E223FB42F}" name="Customer order (if any)"/>
    <tableColumn id="3" xr3:uid="{E89FCF33-A82D-4659-A68E-9EEC2D1E82C7}" name="Customer Order Incoterm" dataDxfId="178"/>
    <tableColumn id="5" xr3:uid="{39052C54-03DD-4CAF-BB14-A8A6848B064D}" name="Request Date / Shipment " dataDxfId="177"/>
    <tableColumn id="16" xr3:uid="{8DDA64A2-BE85-43E7-A40D-8A64779BECE2}" name="Origination ?" dataDxfId="176"/>
    <tableColumn id="15" xr3:uid="{6B1F5BB3-E854-4015-924F-424E780DC3B9}" name="PORT OF DESTINATION (tentative)" dataDxfId="175"/>
    <tableColumn id="4" xr3:uid="{1CD7161A-508A-41B2-9A43-2F3F50750F4B}" name="PICK-UP (Tentative)" dataDxfId="174"/>
    <tableColumn id="6" xr3:uid="{B9508EA7-5831-4675-BCFE-199DB888EDF7}" name="`PRODUCT TYPE" dataDxfId="173"/>
    <tableColumn id="7" xr3:uid="{790AA2FC-5D5D-409A-B030-704D373A1662}" name="New Ark SKU" dataDxfId="172"/>
    <tableColumn id="8" xr3:uid="{C3DB526E-79C0-4D0E-9F03-99B2FF16B62F}" name="Oracle SKU" dataDxfId="171"/>
    <tableColumn id="9" xr3:uid="{4B0737DB-A98D-47B4-AAAD-A43D6998A127}" name="DESCRIPTION" dataDxfId="170"/>
    <tableColumn id="10" xr3:uid="{9CD37D0E-948C-4BCC-A3E1-918D8771BEC1}" name="WATT" dataDxfId="169"/>
    <tableColumn id="11" xr3:uid="{43ACFD1C-21C9-4094-9714-9A50546F53AF}" name="QUANTITY" dataDxfId="168"/>
    <tableColumn id="12" xr3:uid="{52C361E0-3B62-44C1-82F0-8221405D3BD6}" name="MW" dataDxfId="167"/>
    <tableColumn id="13" xr3:uid="{97056B4D-6FB7-4124-AB24-CD0952241512}" name="PALLETS" dataDxfId="166"/>
    <tableColumn id="14" xr3:uid="{5BD6157D-B24D-4568-B07B-8F2DC1BE910A}" name="CONTAINERS" dataDxfId="16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63" headerRowBorderDxfId="162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61"/>
    <tableColumn id="6" xr3:uid="{B4D4FE3D-AC07-40B2-9634-83EE4764802A}" name="Product Model" dataDxfId="160"/>
    <tableColumn id="2" xr3:uid="{DFD79F2B-E6EA-47EA-B08C-273238B264A6}" name="Cable" dataDxfId="159"/>
    <tableColumn id="3" xr3:uid="{61B51A9A-46DD-4B6A-B278-58C01E341B55}" name="Connector"/>
    <tableColumn id="4" xr3:uid="{8D9C9D1C-7096-40FF-AD31-D07A1F60CB4E}" name="Back Glass" dataDxfId="158"/>
    <tableColumn id="5" xr3:uid="{9CE9BCE7-0E30-432D-B371-040FD88F2D7E}" name="Frame" dataDxfId="157"/>
    <tableColumn id="7" xr3:uid="{8162B58E-D280-4FF8-9D92-B0055D926471}" name="Total PCS per Pallet" dataDxfId="156"/>
    <tableColumn id="8" xr3:uid="{C575A311-8191-43DC-B865-E47E24868778}" name="Total PCS per 40HQ Container" dataDxfId="155"/>
    <tableColumn id="9" xr3:uid="{FA6B90AB-02B8-47FC-81D6-050C1150AB27}" name="Material Description" dataDxfId="154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97" tableType="queryTable" totalsRowShown="0">
  <autoFilter ref="A1:P1197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8"/>
    <tableColumn id="10" xr3:uid="{A59CE7D0-FCD2-4AE7-AA51-1827241734CF}" uniqueName="10" name="ETA On S/O" queryTableFieldId="10" dataDxfId="137"/>
    <tableColumn id="11" xr3:uid="{2D6B6012-ABAA-4613-9FF9-3931DE22B8B6}" uniqueName="11" name="ETA Update" queryTableFieldId="11" dataDxfId="136"/>
    <tableColumn id="12" xr3:uid="{72B74C91-2946-4AF0-9086-22A1EF1CF0CC}" uniqueName="12" name="ATA PORT" queryTableFieldId="12" dataDxfId="135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34"/>
    <tableColumn id="16" xr3:uid="{560123A8-6802-40A9-9CA3-7140C7B3789D}" uniqueName="16" name="ETA for New Ark update" queryTableFieldId="16" dataDxfId="13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70" tableType="queryTable" totalsRowShown="0">
  <autoFilter ref="A1:V170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53">
  <autoFilter ref="E3:L43" xr:uid="{A2B2C819-0B14-4A11-978B-E43C99FC7194}"/>
  <tableColumns count="8">
    <tableColumn id="1" xr3:uid="{94765725-48C0-46D2-A05A-663B7BE14801}" name="Index" dataDxfId="152">
      <calculatedColumnFormula>LT_REF[[#This Row],[PORT OF LOADING]]&amp;LT_REF[[#This Row],[PORT DESTINATION]]</calculatedColumnFormula>
    </tableColumn>
    <tableColumn id="2" xr3:uid="{FAB585E5-386A-4198-8810-E77D0C7CC8FC}" name="PORT OF LOADING" dataDxfId="151"/>
    <tableColumn id="3" xr3:uid="{D306D218-E767-49CD-9E6E-392DBEC4323E}" name="PORT DESTINATION" dataDxfId="150"/>
    <tableColumn id="9" xr3:uid="{00B30558-34B8-4FD6-9DD0-96F7D0594F1E}" name="New Ark WH" dataDxfId="149"/>
    <tableColumn id="4" xr3:uid="{4172C0DF-19A8-4811-92BC-FB76F5E71CB0}" name="in Days" dataDxfId="148"/>
    <tableColumn id="5" xr3:uid="{DFFCE7D3-1AF0-46BB-AE88-EF971251BC20}" name="in Weeks" dataDxfId="147"/>
    <tableColumn id="7" xr3:uid="{53EEABB3-D122-4ED8-863B-2187B6F0876D}" name="Customs+Leg3" dataDxfId="146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45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44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43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42" headerRowBorderDxfId="141" tableBorderDxfId="140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9" dT="2026-09-04T02:29:59.21" personId="{05B030F0-EC17-4ABC-8711-CF2A2F8CB2C1}" id="{ED201946-84E6-42A3-A881-44996C726AB5}">
    <text>3 CTS picked up on 9-03 ,2 CTS picked up on 9-04</text>
  </threadedComment>
  <threadedComment ref="AB1019" dT="2026-09-02T09:22:36.13" personId="{56818584-B3E0-4B2D-A5E9-D37F823CA16D}" id="{0322FBD2-9597-4027-8929-89D6EDAD980E}">
    <text>3 CTS picked up on 9-03 ,2 CTS picked up on 9-04</text>
  </threadedComment>
  <threadedComment ref="A1027" dT="2026-08-18T01:36:09.72" personId="{05B030F0-EC17-4ABC-8711-CF2A2F8CB2C1}" id="{0A4981E9-6B54-4469-A5D7-8160B7B1D327}">
    <text>订单取消</text>
  </threadedComment>
  <threadedComment ref="AB1043" dT="2026-09-11T03:51:51.59" personId="{56818584-B3E0-4B2D-A5E9-D37F823CA16D}" id="{ADACFBB9-178D-46C7-AA59-77077C0F3A9F}">
    <text>7 CTS picked up on 9-12 , 4 CTS picked up on 9-13</text>
  </threadedComment>
  <threadedComment ref="P1079" dT="2026-06-16T03:27:33.14" personId="{AEDBF3C1-4A8E-4E51-9E34-6FCF6E9F8787}" id="{F55A1DDD-081F-4D5D-8DEF-79B496731F99}">
    <text>EVO2</text>
  </threadedComment>
  <threadedComment ref="P1080" dT="2026-06-16T03:27:33.14" personId="{AEDBF3C1-4A8E-4E51-9E34-6FCF6E9F8787}" id="{2F3CFDBE-D55E-4245-88F9-179DD808A4E2}">
    <text>EVO2</text>
  </threadedComment>
  <threadedComment ref="U1084" dT="2026-04-29T02:42:39.41" personId="{AEDBF3C1-4A8E-4E51-9E34-6FCF6E9F8787}" id="{EC9B1E43-D22A-4734-AA29-65BA28D7AAC4}">
    <text>260429: cancel 1plt-33pcs</text>
  </threadedComment>
  <threadedComment ref="P1119" dT="2026-06-16T03:27:33.14" personId="{AEDBF3C1-4A8E-4E51-9E34-6FCF6E9F8787}" id="{87C68EEC-2CDB-461B-ABA3-649871D6402B}">
    <text>EVO2</text>
  </threadedComment>
  <threadedComment ref="P1120" dT="2026-06-16T03:27:33.14" personId="{AEDBF3C1-4A8E-4E51-9E34-6FCF6E9F8787}" id="{3D8C2884-F411-4A74-B750-D5C52A3B0DB7}">
    <text>EVO2</text>
  </threadedComment>
  <threadedComment ref="P1121" dT="2026-06-16T03:27:33.14" personId="{AEDBF3C1-4A8E-4E51-9E34-6FCF6E9F8787}" id="{30EFEC93-7E92-4F17-8F39-DCD31CE8A920}">
    <text>EVO2</text>
  </threadedComment>
  <threadedComment ref="P1122" dT="2026-06-16T03:27:43.36" personId="{AEDBF3C1-4A8E-4E51-9E34-6FCF6E9F8787}" id="{F56419AE-CFA8-44CF-B67F-6105757CE739}">
    <text>EVO2</text>
  </threadedComment>
  <threadedComment ref="A1132" dT="2026-07-29T08:12:37.19" personId="{05B030F0-EC17-4ABC-8711-CF2A2F8CB2C1}" id="{26346838-ABA2-4BA3-AA2C-FC42C49227F0}">
    <text>非欧，已开单</text>
  </threadedComment>
  <threadedComment ref="A1133" dT="2026-07-29T08:12:56.39" personId="{05B030F0-EC17-4ABC-8711-CF2A2F8CB2C1}" id="{EE80C541-28B8-47A1-B8F3-207C0B2E1068}">
    <text>非欧，已开单</text>
  </threadedComment>
  <threadedComment ref="A1134" dT="2026-07-29T08:13:24.09" personId="{05B030F0-EC17-4ABC-8711-CF2A2F8CB2C1}" id="{108D8866-E605-4DE5-9F81-A8F0D87DB5C6}">
    <text>非欧，已开单</text>
  </threadedComment>
  <threadedComment ref="A1135" dT="2026-08-21T05:39:18.25" personId="{05B030F0-EC17-4ABC-8711-CF2A2F8CB2C1}" id="{E0A69871-1B1B-4155-BC45-7EED2A7E75D0}">
    <text>非欧订单</text>
  </threadedComment>
  <threadedComment ref="P1147" dT="2026-06-16T03:27:43.36" personId="{AEDBF3C1-4A8E-4E51-9E34-6FCF6E9F8787}" id="{40E7E0AC-D547-4D57-9767-8C313674ABAB}">
    <text>EVO2</text>
  </threadedComment>
  <threadedComment ref="P1157" dT="2026-06-18T10:25:57.83" personId="{AEDBF3C1-4A8E-4E51-9E34-6FCF6E9F8787}" id="{0979DD86-91C8-4F68-97ED-D199B27E32D4}">
    <text>H4</text>
  </threadedComment>
  <threadedComment ref="P1158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7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102"/>
    <col min="3" max="14" width="0" style="1102" hidden="1" customWidth="1"/>
    <col min="15" max="27" width="14.8984375" style="1102"/>
    <col min="28" max="28" width="14.8984375" style="1103"/>
    <col min="29" max="29" width="14.8984375" style="1102"/>
    <col min="30" max="30" width="16" style="1102" customWidth="1"/>
    <col min="31" max="34" width="14.8984375" style="1102"/>
    <col min="35" max="40" width="14.8984375" style="1103"/>
    <col min="41" max="48" width="14.8984375" style="1102"/>
    <col min="49" max="49" width="14.8984375" style="1103"/>
    <col min="50" max="50" width="14.8984375" style="1102"/>
    <col min="51" max="51" width="14.8984375" style="1103"/>
    <col min="52" max="52" width="14.8984375" style="1102"/>
    <col min="53" max="53" width="14.8984375" style="1103"/>
    <col min="54" max="16384" width="14.8984375" style="1102"/>
  </cols>
  <sheetData>
    <row r="1" spans="1:60" s="430" customFormat="1" ht="42" customHeight="1" outlineLevel="1">
      <c r="A1" s="951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0" t="s">
        <v>21</v>
      </c>
      <c r="W1" s="1101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04" t="s">
        <v>34</v>
      </c>
      <c r="AJ1" s="544" t="s">
        <v>35</v>
      </c>
      <c r="AK1" s="1105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02" t="s">
        <v>60</v>
      </c>
      <c r="B2" s="1102" t="s">
        <v>61</v>
      </c>
      <c r="C2" s="1102" t="s">
        <v>62</v>
      </c>
      <c r="D2" s="1102" t="s">
        <v>63</v>
      </c>
      <c r="E2" s="1102" t="s">
        <v>64</v>
      </c>
      <c r="F2" s="1102" t="s">
        <v>65</v>
      </c>
      <c r="G2" s="1102" t="s">
        <v>66</v>
      </c>
      <c r="H2" s="1102" t="s">
        <v>67</v>
      </c>
      <c r="I2" s="1102" t="s">
        <v>68</v>
      </c>
      <c r="J2" s="1102" t="s">
        <v>69</v>
      </c>
      <c r="M2" s="1102" t="s">
        <v>68</v>
      </c>
      <c r="N2" s="1102" t="s">
        <v>68</v>
      </c>
      <c r="O2" s="1102" t="s">
        <v>70</v>
      </c>
      <c r="P2" s="1102" t="s">
        <v>71</v>
      </c>
      <c r="Q2" s="1102" t="s">
        <v>72</v>
      </c>
      <c r="R2" s="1102" t="s">
        <v>73</v>
      </c>
      <c r="S2" s="1102" t="s">
        <v>74</v>
      </c>
      <c r="T2" s="1102">
        <v>500</v>
      </c>
      <c r="U2" s="1102">
        <v>2592</v>
      </c>
      <c r="V2" s="1102">
        <v>1.296</v>
      </c>
      <c r="W2" s="1102">
        <v>72</v>
      </c>
      <c r="X2" s="1102">
        <v>3</v>
      </c>
      <c r="Y2" s="1102" t="s">
        <v>75</v>
      </c>
      <c r="Z2" s="1102" t="s">
        <v>75</v>
      </c>
      <c r="AB2" s="1103">
        <v>46003</v>
      </c>
      <c r="AC2" s="1102">
        <v>50</v>
      </c>
      <c r="AD2" s="1102" t="s">
        <v>76</v>
      </c>
      <c r="AE2" s="1102">
        <v>371009290</v>
      </c>
      <c r="AF2" s="1102" t="s">
        <v>77</v>
      </c>
      <c r="AG2" s="1102" t="s">
        <v>61</v>
      </c>
      <c r="AH2" s="1102" t="s">
        <v>78</v>
      </c>
      <c r="AI2" s="1103">
        <v>46009</v>
      </c>
      <c r="AJ2" s="1103">
        <v>46009</v>
      </c>
      <c r="AK2" s="1103">
        <v>46012</v>
      </c>
      <c r="AL2" s="1103">
        <v>46076</v>
      </c>
      <c r="AM2" s="1103">
        <v>46098</v>
      </c>
      <c r="AN2" s="1103">
        <v>46099</v>
      </c>
      <c r="AO2" s="1102" t="s">
        <v>66</v>
      </c>
      <c r="AP2" s="1102" t="s">
        <v>79</v>
      </c>
      <c r="AQ2" s="1102" t="s">
        <v>80</v>
      </c>
      <c r="AR2" s="1102" t="s">
        <v>81</v>
      </c>
      <c r="AS2" s="1102" t="s">
        <v>82</v>
      </c>
      <c r="AT2" s="1102" t="s">
        <v>82</v>
      </c>
      <c r="AU2" s="1102">
        <v>87</v>
      </c>
      <c r="AV2" s="1102" t="s">
        <v>83</v>
      </c>
      <c r="AW2" s="1103">
        <v>46099</v>
      </c>
      <c r="AX2" s="1102" t="s">
        <v>84</v>
      </c>
      <c r="AY2" s="1103">
        <v>46112</v>
      </c>
      <c r="AZ2" s="1102">
        <v>8</v>
      </c>
      <c r="BA2" s="1103">
        <v>46107</v>
      </c>
      <c r="BB2" s="1102">
        <v>2026</v>
      </c>
      <c r="BC2" s="1102">
        <v>3</v>
      </c>
      <c r="BD2" s="1102">
        <v>13</v>
      </c>
      <c r="BE2" s="1102">
        <v>36</v>
      </c>
      <c r="BF2" s="1102">
        <v>864</v>
      </c>
      <c r="BG2" s="1102" t="s">
        <v>85</v>
      </c>
      <c r="BH2" s="1102" t="s">
        <v>86</v>
      </c>
    </row>
    <row r="3" spans="1:60">
      <c r="A3" s="1102" t="s">
        <v>87</v>
      </c>
      <c r="B3" s="1102" t="s">
        <v>61</v>
      </c>
      <c r="C3" s="1102" t="s">
        <v>88</v>
      </c>
      <c r="D3" s="1102" t="s">
        <v>63</v>
      </c>
      <c r="E3" s="1102" t="s">
        <v>64</v>
      </c>
      <c r="F3" s="1102" t="s">
        <v>65</v>
      </c>
      <c r="G3" s="1102" t="s">
        <v>66</v>
      </c>
      <c r="H3" s="1102" t="s">
        <v>67</v>
      </c>
      <c r="I3" s="1102" t="s">
        <v>68</v>
      </c>
      <c r="J3" s="1102" t="s">
        <v>89</v>
      </c>
      <c r="K3" s="1102" t="s">
        <v>90</v>
      </c>
      <c r="M3" s="1102" t="s">
        <v>68</v>
      </c>
      <c r="N3" s="1102" t="s">
        <v>68</v>
      </c>
      <c r="O3" s="1102" t="s">
        <v>70</v>
      </c>
      <c r="P3" s="1102" t="s">
        <v>91</v>
      </c>
      <c r="Q3" s="1102" t="s">
        <v>92</v>
      </c>
      <c r="R3" s="1102" t="s">
        <v>73</v>
      </c>
      <c r="S3" s="1102" t="s">
        <v>74</v>
      </c>
      <c r="T3" s="1102">
        <v>450</v>
      </c>
      <c r="U3" s="1102">
        <v>936</v>
      </c>
      <c r="V3" s="1102">
        <v>0.42099999999999999</v>
      </c>
      <c r="W3" s="1102">
        <v>26</v>
      </c>
      <c r="X3" s="1102">
        <v>1</v>
      </c>
      <c r="Y3" s="1102" t="s">
        <v>75</v>
      </c>
      <c r="Z3" s="1102" t="s">
        <v>75</v>
      </c>
      <c r="AB3" s="1103">
        <v>46003</v>
      </c>
      <c r="AC3" s="1102">
        <v>50</v>
      </c>
      <c r="AD3" s="1102" t="s">
        <v>93</v>
      </c>
      <c r="AE3" s="1102">
        <v>371009297</v>
      </c>
      <c r="AF3" s="1102" t="s">
        <v>77</v>
      </c>
      <c r="AG3" s="1102" t="s">
        <v>61</v>
      </c>
      <c r="AH3" s="1102" t="s">
        <v>78</v>
      </c>
      <c r="AI3" s="1103">
        <v>46009</v>
      </c>
      <c r="AJ3" s="1103">
        <v>46009</v>
      </c>
      <c r="AK3" s="1103">
        <v>46012</v>
      </c>
      <c r="AL3" s="1103">
        <v>46076</v>
      </c>
      <c r="AM3" s="1103">
        <v>46098</v>
      </c>
      <c r="AN3" s="1103">
        <v>46099</v>
      </c>
      <c r="AO3" s="1102" t="s">
        <v>66</v>
      </c>
      <c r="AP3" s="1102" t="s">
        <v>79</v>
      </c>
      <c r="AQ3" s="1102" t="s">
        <v>80</v>
      </c>
      <c r="AR3" s="1102" t="s">
        <v>81</v>
      </c>
      <c r="AS3" s="1102" t="s">
        <v>82</v>
      </c>
      <c r="AT3" s="1102" t="s">
        <v>82</v>
      </c>
      <c r="AU3" s="1102">
        <v>87</v>
      </c>
      <c r="AV3" s="1102" t="s">
        <v>83</v>
      </c>
      <c r="AW3" s="1103">
        <v>46099</v>
      </c>
      <c r="AX3" s="1102" t="s">
        <v>84</v>
      </c>
      <c r="AY3" s="1103">
        <v>46112</v>
      </c>
      <c r="AZ3" s="1102">
        <v>8</v>
      </c>
      <c r="BA3" s="1103">
        <v>46107</v>
      </c>
      <c r="BB3" s="1102">
        <v>2026</v>
      </c>
      <c r="BC3" s="1102">
        <v>3</v>
      </c>
      <c r="BD3" s="1102">
        <v>13</v>
      </c>
      <c r="BE3" s="1102">
        <v>36</v>
      </c>
      <c r="BF3" s="1102">
        <v>936</v>
      </c>
      <c r="BG3" s="1102" t="s">
        <v>94</v>
      </c>
      <c r="BH3" s="1102" t="s">
        <v>86</v>
      </c>
    </row>
    <row r="4" spans="1:60">
      <c r="A4" s="1102" t="s">
        <v>95</v>
      </c>
      <c r="B4" s="1102" t="s">
        <v>61</v>
      </c>
      <c r="C4" s="1102" t="s">
        <v>88</v>
      </c>
      <c r="D4" s="1102" t="s">
        <v>63</v>
      </c>
      <c r="E4" s="1102" t="s">
        <v>64</v>
      </c>
      <c r="F4" s="1102" t="s">
        <v>65</v>
      </c>
      <c r="G4" s="1102" t="s">
        <v>66</v>
      </c>
      <c r="H4" s="1102" t="s">
        <v>67</v>
      </c>
      <c r="I4" s="1102" t="s">
        <v>68</v>
      </c>
      <c r="J4" s="1102" t="s">
        <v>96</v>
      </c>
      <c r="M4" s="1102" t="s">
        <v>68</v>
      </c>
      <c r="N4" s="1102" t="s">
        <v>68</v>
      </c>
      <c r="O4" s="1102" t="s">
        <v>70</v>
      </c>
      <c r="P4" s="1102" t="s">
        <v>91</v>
      </c>
      <c r="Q4" s="1102" t="s">
        <v>92</v>
      </c>
      <c r="R4" s="1102" t="s">
        <v>73</v>
      </c>
      <c r="S4" s="1102" t="s">
        <v>74</v>
      </c>
      <c r="T4" s="1102">
        <v>450</v>
      </c>
      <c r="U4" s="1102">
        <v>2808</v>
      </c>
      <c r="V4" s="1102">
        <v>1.264</v>
      </c>
      <c r="W4" s="1102">
        <v>78</v>
      </c>
      <c r="X4" s="1102">
        <v>3</v>
      </c>
      <c r="Y4" s="1102" t="s">
        <v>75</v>
      </c>
      <c r="Z4" s="1102" t="s">
        <v>75</v>
      </c>
      <c r="AB4" s="1103">
        <v>46003</v>
      </c>
      <c r="AC4" s="1102">
        <v>50</v>
      </c>
      <c r="AD4" s="1102" t="s">
        <v>97</v>
      </c>
      <c r="AE4" s="1102">
        <v>371009298</v>
      </c>
      <c r="AF4" s="1102" t="s">
        <v>77</v>
      </c>
      <c r="AG4" s="1102" t="s">
        <v>61</v>
      </c>
      <c r="AH4" s="1102" t="s">
        <v>78</v>
      </c>
      <c r="AI4" s="1103">
        <v>46009</v>
      </c>
      <c r="AJ4" s="1103">
        <v>46009</v>
      </c>
      <c r="AK4" s="1103">
        <v>46012</v>
      </c>
      <c r="AL4" s="1103">
        <v>46076</v>
      </c>
      <c r="AM4" s="1103">
        <v>46098</v>
      </c>
      <c r="AN4" s="1103">
        <v>46099</v>
      </c>
      <c r="AO4" s="1102" t="s">
        <v>66</v>
      </c>
      <c r="AP4" s="1102" t="s">
        <v>79</v>
      </c>
      <c r="AQ4" s="1102" t="s">
        <v>80</v>
      </c>
      <c r="AR4" s="1102" t="s">
        <v>81</v>
      </c>
      <c r="AS4" s="1102" t="s">
        <v>82</v>
      </c>
      <c r="AT4" s="1102" t="s">
        <v>82</v>
      </c>
      <c r="AU4" s="1102">
        <v>87</v>
      </c>
      <c r="AV4" s="1102" t="s">
        <v>83</v>
      </c>
      <c r="AW4" s="1103">
        <v>46099</v>
      </c>
      <c r="AX4" s="1102" t="s">
        <v>84</v>
      </c>
      <c r="AY4" s="1103">
        <v>46112</v>
      </c>
      <c r="AZ4" s="1102">
        <v>8</v>
      </c>
      <c r="BA4" s="1103">
        <v>46107</v>
      </c>
      <c r="BB4" s="1102">
        <v>2026</v>
      </c>
      <c r="BC4" s="1102">
        <v>3</v>
      </c>
      <c r="BD4" s="1102">
        <v>13</v>
      </c>
      <c r="BE4" s="1102">
        <v>36</v>
      </c>
      <c r="BF4" s="1102">
        <v>936</v>
      </c>
      <c r="BG4" s="1102" t="s">
        <v>94</v>
      </c>
      <c r="BH4" s="1102" t="s">
        <v>86</v>
      </c>
    </row>
    <row r="5" spans="1:60">
      <c r="A5" s="1102" t="s">
        <v>98</v>
      </c>
      <c r="B5" s="1102" t="s">
        <v>61</v>
      </c>
      <c r="C5" s="1102" t="s">
        <v>99</v>
      </c>
      <c r="D5" s="1102" t="s">
        <v>63</v>
      </c>
      <c r="E5" s="1102" t="s">
        <v>64</v>
      </c>
      <c r="F5" s="1102" t="s">
        <v>100</v>
      </c>
      <c r="G5" s="1102" t="s">
        <v>66</v>
      </c>
      <c r="H5" s="1102" t="s">
        <v>67</v>
      </c>
      <c r="I5" s="1102" t="s">
        <v>68</v>
      </c>
      <c r="J5" s="1102" t="s">
        <v>101</v>
      </c>
      <c r="M5" s="1102" t="s">
        <v>68</v>
      </c>
      <c r="N5" s="1102" t="s">
        <v>68</v>
      </c>
      <c r="O5" s="1102" t="s">
        <v>70</v>
      </c>
      <c r="P5" s="1102" t="s">
        <v>102</v>
      </c>
      <c r="Q5" s="1102" t="s">
        <v>103</v>
      </c>
      <c r="R5" s="1102" t="s">
        <v>73</v>
      </c>
      <c r="S5" s="1102" t="s">
        <v>74</v>
      </c>
      <c r="T5" s="1102">
        <v>620</v>
      </c>
      <c r="U5" s="1102">
        <v>4320</v>
      </c>
      <c r="V5" s="1102">
        <v>2.6779999999999999</v>
      </c>
      <c r="W5" s="1102">
        <v>120</v>
      </c>
      <c r="X5" s="1102">
        <v>6</v>
      </c>
      <c r="Y5" s="1102" t="s">
        <v>75</v>
      </c>
      <c r="Z5" s="1102" t="s">
        <v>75</v>
      </c>
      <c r="AB5" s="1103">
        <v>46000</v>
      </c>
      <c r="AC5" s="1102">
        <v>50</v>
      </c>
      <c r="AD5" s="1102" t="s">
        <v>104</v>
      </c>
      <c r="AE5" s="1102">
        <v>371009291</v>
      </c>
      <c r="AF5" s="1102" t="s">
        <v>77</v>
      </c>
      <c r="AG5" s="1102" t="s">
        <v>61</v>
      </c>
      <c r="AH5" s="1102" t="s">
        <v>105</v>
      </c>
      <c r="AI5" s="1103">
        <v>46009</v>
      </c>
      <c r="AJ5" s="1103">
        <v>46009</v>
      </c>
      <c r="AK5" s="1103">
        <v>46012</v>
      </c>
      <c r="AL5" s="1103">
        <v>46061</v>
      </c>
      <c r="AM5" s="1103">
        <v>46111</v>
      </c>
      <c r="AN5" s="1103">
        <v>46111</v>
      </c>
      <c r="AO5" s="1102" t="s">
        <v>66</v>
      </c>
      <c r="AP5" s="1102" t="s">
        <v>79</v>
      </c>
      <c r="AQ5" s="1102" t="s">
        <v>80</v>
      </c>
      <c r="AR5" s="1102" t="s">
        <v>106</v>
      </c>
      <c r="AS5" s="1102" t="s">
        <v>107</v>
      </c>
      <c r="AT5" s="1102" t="s">
        <v>107</v>
      </c>
      <c r="AU5" s="1102">
        <v>99</v>
      </c>
      <c r="AV5" s="1102" t="s">
        <v>83</v>
      </c>
      <c r="AW5" s="1103">
        <v>46111</v>
      </c>
      <c r="AX5" s="1102" t="s">
        <v>84</v>
      </c>
      <c r="AY5" s="1103">
        <v>46125</v>
      </c>
      <c r="AZ5" s="1102">
        <v>7</v>
      </c>
      <c r="BA5" s="1103">
        <v>46118</v>
      </c>
      <c r="BB5" s="1102">
        <v>2026</v>
      </c>
      <c r="BC5" s="1102">
        <v>4</v>
      </c>
      <c r="BD5" s="1102">
        <v>15</v>
      </c>
      <c r="BE5" s="1102">
        <v>36</v>
      </c>
      <c r="BF5" s="1102">
        <v>720</v>
      </c>
      <c r="BG5" s="1102" t="s">
        <v>108</v>
      </c>
      <c r="BH5" s="1102" t="s">
        <v>109</v>
      </c>
    </row>
    <row r="6" spans="1:60">
      <c r="A6" s="1102" t="s">
        <v>110</v>
      </c>
      <c r="B6" s="1102" t="s">
        <v>111</v>
      </c>
      <c r="C6" s="1102" t="s">
        <v>112</v>
      </c>
      <c r="D6" s="1102" t="s">
        <v>113</v>
      </c>
      <c r="E6" s="1102" t="s">
        <v>64</v>
      </c>
      <c r="F6" s="1102" t="s">
        <v>114</v>
      </c>
      <c r="G6" s="1102" t="s">
        <v>66</v>
      </c>
      <c r="H6" s="1102" t="s">
        <v>115</v>
      </c>
      <c r="I6" s="1102" t="s">
        <v>68</v>
      </c>
      <c r="J6" s="1102" t="s">
        <v>116</v>
      </c>
      <c r="K6" s="1102" t="s">
        <v>117</v>
      </c>
      <c r="M6" s="1102" t="s">
        <v>68</v>
      </c>
      <c r="N6" s="1102" t="s">
        <v>68</v>
      </c>
      <c r="O6" s="1102" t="s">
        <v>70</v>
      </c>
      <c r="P6" s="1102" t="s">
        <v>118</v>
      </c>
      <c r="Q6" s="1102" t="s">
        <v>119</v>
      </c>
      <c r="R6" s="1102" t="s">
        <v>73</v>
      </c>
      <c r="S6" s="1102" t="s">
        <v>120</v>
      </c>
      <c r="T6" s="1102">
        <v>640</v>
      </c>
      <c r="U6" s="1102">
        <v>2304</v>
      </c>
      <c r="V6" s="1102">
        <v>1.4750000000000001</v>
      </c>
      <c r="W6" s="1102">
        <v>64</v>
      </c>
      <c r="X6" s="1102">
        <v>4</v>
      </c>
      <c r="Y6" s="1102" t="s">
        <v>75</v>
      </c>
      <c r="Z6" s="1102" t="s">
        <v>75</v>
      </c>
      <c r="AB6" s="1103">
        <v>46015</v>
      </c>
      <c r="AC6" s="1102">
        <v>52</v>
      </c>
      <c r="AD6" s="1102" t="s">
        <v>121</v>
      </c>
      <c r="AF6" s="1102" t="s">
        <v>122</v>
      </c>
      <c r="AG6" s="1102" t="s">
        <v>123</v>
      </c>
      <c r="AH6" s="1102" t="s">
        <v>124</v>
      </c>
      <c r="AI6" s="1103">
        <v>46020</v>
      </c>
      <c r="AJ6" s="1103">
        <v>46030</v>
      </c>
      <c r="AK6" s="1103">
        <v>46030</v>
      </c>
      <c r="AL6" s="1103">
        <v>46072</v>
      </c>
      <c r="AM6" s="1103">
        <v>46092</v>
      </c>
      <c r="AN6" s="1103">
        <v>46094</v>
      </c>
      <c r="AO6" s="1102" t="s">
        <v>66</v>
      </c>
      <c r="AP6" s="1102" t="s">
        <v>125</v>
      </c>
      <c r="AQ6" s="1102" t="s">
        <v>80</v>
      </c>
      <c r="AR6" s="1102" t="s">
        <v>126</v>
      </c>
      <c r="AS6" s="1102" t="s">
        <v>127</v>
      </c>
      <c r="AT6" s="1102" t="s">
        <v>127</v>
      </c>
      <c r="AU6" s="1102">
        <v>64</v>
      </c>
      <c r="AW6" s="1103">
        <v>46094</v>
      </c>
      <c r="AX6" s="1102" t="s">
        <v>84</v>
      </c>
      <c r="AY6" s="1103">
        <v>46104</v>
      </c>
      <c r="AZ6" s="1102">
        <v>9</v>
      </c>
      <c r="BA6" s="1103">
        <v>46103</v>
      </c>
      <c r="BB6" s="1102">
        <v>2026</v>
      </c>
      <c r="BC6" s="1102">
        <v>3</v>
      </c>
      <c r="BD6" s="1102">
        <v>12</v>
      </c>
      <c r="BE6" s="1102">
        <v>36</v>
      </c>
      <c r="BF6" s="1102">
        <v>576</v>
      </c>
      <c r="BG6" s="1102" t="s">
        <v>128</v>
      </c>
      <c r="BH6" s="1102" t="s">
        <v>86</v>
      </c>
    </row>
    <row r="7" spans="1:60">
      <c r="A7" s="1102" t="s">
        <v>129</v>
      </c>
      <c r="B7" s="1102" t="s">
        <v>111</v>
      </c>
      <c r="C7" s="1102" t="s">
        <v>130</v>
      </c>
      <c r="D7" s="1102" t="s">
        <v>63</v>
      </c>
      <c r="E7" s="1102" t="s">
        <v>64</v>
      </c>
      <c r="F7" s="1102" t="s">
        <v>65</v>
      </c>
      <c r="G7" s="1102" t="s">
        <v>66</v>
      </c>
      <c r="H7" s="1102" t="s">
        <v>67</v>
      </c>
      <c r="I7" s="1102" t="s">
        <v>68</v>
      </c>
      <c r="J7" s="1102" t="s">
        <v>131</v>
      </c>
      <c r="M7" s="1102" t="s">
        <v>68</v>
      </c>
      <c r="N7" s="1102" t="s">
        <v>68</v>
      </c>
      <c r="O7" s="1102" t="s">
        <v>132</v>
      </c>
      <c r="P7" s="1102" t="s">
        <v>133</v>
      </c>
      <c r="Q7" s="1102" t="s">
        <v>134</v>
      </c>
      <c r="R7" s="1102" t="s">
        <v>73</v>
      </c>
      <c r="S7" s="1102" t="s">
        <v>120</v>
      </c>
      <c r="T7" s="1102">
        <v>720</v>
      </c>
      <c r="U7" s="1102">
        <v>1782</v>
      </c>
      <c r="V7" s="1102">
        <v>1.2829999999999999</v>
      </c>
      <c r="W7" s="1102">
        <v>54</v>
      </c>
      <c r="X7" s="1102">
        <v>3</v>
      </c>
      <c r="Y7" s="1102" t="s">
        <v>75</v>
      </c>
      <c r="Z7" s="1102" t="s">
        <v>75</v>
      </c>
      <c r="AB7" s="1103">
        <v>46012</v>
      </c>
      <c r="AC7" s="1102">
        <v>51</v>
      </c>
      <c r="AD7" s="1102" t="s">
        <v>135</v>
      </c>
      <c r="AF7" s="1102" t="s">
        <v>122</v>
      </c>
      <c r="AG7" s="1102" t="s">
        <v>123</v>
      </c>
      <c r="AH7" s="1102" t="s">
        <v>78</v>
      </c>
      <c r="AI7" s="1103">
        <v>46020</v>
      </c>
      <c r="AJ7" s="1103">
        <v>46030</v>
      </c>
      <c r="AK7" s="1103">
        <v>46030</v>
      </c>
      <c r="AL7" s="1103">
        <v>46064</v>
      </c>
      <c r="AM7" s="1103">
        <v>46098</v>
      </c>
      <c r="AN7" s="1103">
        <v>46099</v>
      </c>
      <c r="AO7" s="1102" t="s">
        <v>66</v>
      </c>
      <c r="AP7" s="1102" t="s">
        <v>125</v>
      </c>
      <c r="AQ7" s="1102" t="s">
        <v>80</v>
      </c>
      <c r="AR7" s="1102" t="s">
        <v>136</v>
      </c>
      <c r="AS7" s="1102" t="s">
        <v>137</v>
      </c>
      <c r="AT7" s="1102" t="s">
        <v>137</v>
      </c>
      <c r="AU7" s="1102">
        <v>69</v>
      </c>
      <c r="AW7" s="1103">
        <v>46099</v>
      </c>
      <c r="AX7" s="1102" t="s">
        <v>84</v>
      </c>
      <c r="AY7" s="1103">
        <v>46112</v>
      </c>
      <c r="AZ7" s="1102">
        <v>8</v>
      </c>
      <c r="BA7" s="1103">
        <v>46107</v>
      </c>
      <c r="BB7" s="1102">
        <v>2026</v>
      </c>
      <c r="BC7" s="1102">
        <v>3</v>
      </c>
      <c r="BD7" s="1102">
        <v>13</v>
      </c>
      <c r="BE7" s="1102">
        <v>33</v>
      </c>
      <c r="BF7" s="1102">
        <v>594</v>
      </c>
      <c r="BG7" s="1102" t="s">
        <v>108</v>
      </c>
      <c r="BH7" s="1102" t="s">
        <v>86</v>
      </c>
    </row>
    <row r="8" spans="1:60">
      <c r="A8" s="1102" t="s">
        <v>138</v>
      </c>
      <c r="B8" s="1102" t="s">
        <v>111</v>
      </c>
      <c r="C8" s="1102" t="s">
        <v>130</v>
      </c>
      <c r="D8" s="1102" t="s">
        <v>63</v>
      </c>
      <c r="E8" s="1102" t="s">
        <v>64</v>
      </c>
      <c r="F8" s="1102" t="s">
        <v>100</v>
      </c>
      <c r="G8" s="1102" t="s">
        <v>66</v>
      </c>
      <c r="H8" s="1102" t="s">
        <v>67</v>
      </c>
      <c r="I8" s="1102" t="s">
        <v>68</v>
      </c>
      <c r="J8" s="1102" t="s">
        <v>101</v>
      </c>
      <c r="M8" s="1102" t="s">
        <v>68</v>
      </c>
      <c r="N8" s="1102" t="s">
        <v>68</v>
      </c>
      <c r="O8" s="1102" t="s">
        <v>132</v>
      </c>
      <c r="P8" s="1102" t="s">
        <v>133</v>
      </c>
      <c r="Q8" s="1102" t="s">
        <v>134</v>
      </c>
      <c r="R8" s="1102" t="s">
        <v>73</v>
      </c>
      <c r="S8" s="1102" t="s">
        <v>120</v>
      </c>
      <c r="T8" s="1102">
        <v>720</v>
      </c>
      <c r="U8" s="1102">
        <v>1782</v>
      </c>
      <c r="V8" s="1102">
        <v>1.2829999999999999</v>
      </c>
      <c r="W8" s="1102">
        <v>54</v>
      </c>
      <c r="X8" s="1102">
        <v>3</v>
      </c>
      <c r="Y8" s="1102" t="s">
        <v>75</v>
      </c>
      <c r="Z8" s="1102" t="s">
        <v>75</v>
      </c>
      <c r="AB8" s="1103">
        <v>46008</v>
      </c>
      <c r="AC8" s="1102">
        <v>51</v>
      </c>
      <c r="AD8" s="1102" t="s">
        <v>139</v>
      </c>
      <c r="AF8" s="1102" t="s">
        <v>122</v>
      </c>
      <c r="AG8" s="1102" t="s">
        <v>123</v>
      </c>
      <c r="AH8" s="1102" t="s">
        <v>105</v>
      </c>
      <c r="AI8" s="1103">
        <v>46014</v>
      </c>
      <c r="AJ8" s="1103">
        <v>46018</v>
      </c>
      <c r="AK8" s="1103">
        <v>46017</v>
      </c>
      <c r="AL8" s="1103">
        <v>46073</v>
      </c>
      <c r="AM8" s="1103">
        <v>46090</v>
      </c>
      <c r="AN8" s="1103">
        <v>46090</v>
      </c>
      <c r="AO8" s="1102" t="s">
        <v>66</v>
      </c>
      <c r="AP8" s="1102" t="s">
        <v>140</v>
      </c>
      <c r="AQ8" s="1102" t="s">
        <v>80</v>
      </c>
      <c r="AR8" s="1102" t="s">
        <v>141</v>
      </c>
      <c r="AS8" s="1102" t="s">
        <v>142</v>
      </c>
      <c r="AT8" s="1102" t="s">
        <v>142</v>
      </c>
      <c r="AU8" s="1102">
        <v>73</v>
      </c>
      <c r="AW8" s="1103">
        <v>46090</v>
      </c>
      <c r="AX8" s="1102" t="s">
        <v>84</v>
      </c>
      <c r="AY8" s="1103">
        <v>46104</v>
      </c>
      <c r="AZ8" s="1102">
        <v>7</v>
      </c>
      <c r="BA8" s="1103">
        <v>46097</v>
      </c>
      <c r="BB8" s="1102">
        <v>2026</v>
      </c>
      <c r="BC8" s="1102">
        <v>3</v>
      </c>
      <c r="BD8" s="1102">
        <v>12</v>
      </c>
      <c r="BE8" s="1102">
        <v>33</v>
      </c>
      <c r="BF8" s="1102">
        <v>594</v>
      </c>
      <c r="BG8" s="1102" t="s">
        <v>108</v>
      </c>
      <c r="BH8" s="1102" t="s">
        <v>109</v>
      </c>
    </row>
    <row r="9" spans="1:60">
      <c r="A9" s="1102" t="s">
        <v>143</v>
      </c>
      <c r="B9" s="1102" t="s">
        <v>61</v>
      </c>
      <c r="C9" s="1102" t="s">
        <v>88</v>
      </c>
      <c r="D9" s="1102" t="s">
        <v>63</v>
      </c>
      <c r="E9" s="1102" t="s">
        <v>144</v>
      </c>
      <c r="F9" s="1102" t="s">
        <v>145</v>
      </c>
      <c r="G9" s="1102" t="s">
        <v>146</v>
      </c>
      <c r="H9" s="1102" t="s">
        <v>147</v>
      </c>
      <c r="I9" s="1102" t="s">
        <v>68</v>
      </c>
      <c r="J9" s="1102" t="s">
        <v>147</v>
      </c>
      <c r="K9" s="1102">
        <v>46010731</v>
      </c>
      <c r="M9" s="1102" t="s">
        <v>68</v>
      </c>
      <c r="N9" s="1102" t="s">
        <v>68</v>
      </c>
      <c r="O9" s="1102" t="s">
        <v>70</v>
      </c>
      <c r="P9" s="1102" t="s">
        <v>91</v>
      </c>
      <c r="Q9" s="1102" t="s">
        <v>92</v>
      </c>
      <c r="R9" s="1102" t="s">
        <v>73</v>
      </c>
      <c r="S9" s="1102" t="s">
        <v>74</v>
      </c>
      <c r="T9" s="1102">
        <v>450</v>
      </c>
      <c r="U9" s="1102">
        <v>936</v>
      </c>
      <c r="V9" s="1102">
        <v>0.42099999999999999</v>
      </c>
      <c r="W9" s="1102">
        <v>26</v>
      </c>
      <c r="X9" s="1102">
        <v>1</v>
      </c>
      <c r="Y9" s="1102" t="s">
        <v>75</v>
      </c>
      <c r="Z9" s="1102" t="s">
        <v>75</v>
      </c>
      <c r="AB9" s="1103">
        <v>46009</v>
      </c>
      <c r="AC9" s="1102">
        <v>51</v>
      </c>
      <c r="AD9" s="1102" t="s">
        <v>148</v>
      </c>
      <c r="AE9" s="1102">
        <v>371009343</v>
      </c>
      <c r="AF9" s="1102" t="s">
        <v>77</v>
      </c>
      <c r="AG9" s="1102" t="s">
        <v>61</v>
      </c>
      <c r="AH9" s="1102" t="s">
        <v>78</v>
      </c>
      <c r="AI9" s="1103">
        <v>46017</v>
      </c>
      <c r="AJ9" s="1103">
        <v>46018</v>
      </c>
      <c r="AK9" s="1103">
        <v>46018</v>
      </c>
      <c r="AL9" s="1103">
        <v>46077</v>
      </c>
      <c r="AM9" s="1103">
        <v>46090</v>
      </c>
      <c r="AN9" s="1103">
        <v>46090</v>
      </c>
      <c r="AO9" s="1102" t="s">
        <v>146</v>
      </c>
      <c r="AP9" s="1102" t="s">
        <v>149</v>
      </c>
      <c r="AQ9" s="1102" t="s">
        <v>80</v>
      </c>
      <c r="AR9" s="1102" t="s">
        <v>150</v>
      </c>
      <c r="AS9" s="1102" t="s">
        <v>151</v>
      </c>
      <c r="AT9" s="1102" t="s">
        <v>151</v>
      </c>
      <c r="AU9" s="1102">
        <v>72</v>
      </c>
      <c r="AV9" s="1102" t="s">
        <v>83</v>
      </c>
      <c r="AW9" s="1103">
        <v>46090</v>
      </c>
      <c r="AX9" s="1102" t="s">
        <v>84</v>
      </c>
      <c r="AY9" s="1103">
        <v>46026</v>
      </c>
      <c r="AZ9" s="1102" t="s">
        <v>152</v>
      </c>
      <c r="BA9" s="1103">
        <v>46090</v>
      </c>
      <c r="BB9" s="1102">
        <v>2026</v>
      </c>
      <c r="BC9" s="1102">
        <v>3</v>
      </c>
      <c r="BD9" s="1102">
        <v>11</v>
      </c>
      <c r="BE9" s="1102">
        <v>36</v>
      </c>
      <c r="BF9" s="1102">
        <v>936</v>
      </c>
      <c r="BG9" s="1102" t="s">
        <v>94</v>
      </c>
      <c r="BH9" s="1102" t="s">
        <v>86</v>
      </c>
    </row>
    <row r="10" spans="1:60">
      <c r="A10" s="1102" t="s">
        <v>153</v>
      </c>
      <c r="B10" s="1102" t="s">
        <v>61</v>
      </c>
      <c r="C10" s="1102" t="s">
        <v>88</v>
      </c>
      <c r="D10" s="1102" t="s">
        <v>63</v>
      </c>
      <c r="E10" s="1102" t="s">
        <v>144</v>
      </c>
      <c r="F10" s="1102" t="s">
        <v>145</v>
      </c>
      <c r="G10" s="1102" t="s">
        <v>146</v>
      </c>
      <c r="H10" s="1102" t="s">
        <v>147</v>
      </c>
      <c r="I10" s="1102" t="s">
        <v>68</v>
      </c>
      <c r="J10" s="1102" t="s">
        <v>147</v>
      </c>
      <c r="K10" s="1102">
        <v>46010817</v>
      </c>
      <c r="M10" s="1102" t="s">
        <v>68</v>
      </c>
      <c r="N10" s="1102" t="s">
        <v>68</v>
      </c>
      <c r="O10" s="1102" t="s">
        <v>70</v>
      </c>
      <c r="P10" s="1102" t="s">
        <v>91</v>
      </c>
      <c r="Q10" s="1102" t="s">
        <v>92</v>
      </c>
      <c r="R10" s="1102" t="s">
        <v>73</v>
      </c>
      <c r="S10" s="1102" t="s">
        <v>74</v>
      </c>
      <c r="T10" s="1102">
        <v>450</v>
      </c>
      <c r="U10" s="1102">
        <v>936</v>
      </c>
      <c r="V10" s="1102">
        <v>0.42099999999999999</v>
      </c>
      <c r="W10" s="1102">
        <v>26</v>
      </c>
      <c r="X10" s="1102">
        <v>1</v>
      </c>
      <c r="Y10" s="1102" t="s">
        <v>75</v>
      </c>
      <c r="Z10" s="1102" t="s">
        <v>75</v>
      </c>
      <c r="AB10" s="1103">
        <v>46009</v>
      </c>
      <c r="AC10" s="1102">
        <v>51</v>
      </c>
      <c r="AD10" s="1102" t="s">
        <v>154</v>
      </c>
      <c r="AE10" s="1102">
        <v>371009344</v>
      </c>
      <c r="AF10" s="1102" t="s">
        <v>77</v>
      </c>
      <c r="AG10" s="1102" t="s">
        <v>61</v>
      </c>
      <c r="AH10" s="1102" t="s">
        <v>78</v>
      </c>
      <c r="AI10" s="1103">
        <v>46017</v>
      </c>
      <c r="AJ10" s="1103">
        <v>46018</v>
      </c>
      <c r="AK10" s="1103">
        <v>46018</v>
      </c>
      <c r="AL10" s="1103">
        <v>46077</v>
      </c>
      <c r="AM10" s="1103">
        <v>46090</v>
      </c>
      <c r="AN10" s="1103">
        <v>46090</v>
      </c>
      <c r="AO10" s="1102" t="s">
        <v>146</v>
      </c>
      <c r="AP10" s="1102" t="s">
        <v>149</v>
      </c>
      <c r="AQ10" s="1102" t="s">
        <v>80</v>
      </c>
      <c r="AR10" s="1102" t="s">
        <v>150</v>
      </c>
      <c r="AS10" s="1102" t="s">
        <v>151</v>
      </c>
      <c r="AT10" s="1102" t="s">
        <v>151</v>
      </c>
      <c r="AU10" s="1102">
        <v>72</v>
      </c>
      <c r="AV10" s="1102" t="s">
        <v>83</v>
      </c>
      <c r="AW10" s="1103">
        <v>46090</v>
      </c>
      <c r="AX10" s="1102" t="s">
        <v>84</v>
      </c>
      <c r="AY10" s="1103">
        <v>46026</v>
      </c>
      <c r="AZ10" s="1102" t="s">
        <v>152</v>
      </c>
      <c r="BA10" s="1103">
        <v>46090</v>
      </c>
      <c r="BB10" s="1102">
        <v>2026</v>
      </c>
      <c r="BC10" s="1102">
        <v>3</v>
      </c>
      <c r="BD10" s="1102">
        <v>11</v>
      </c>
      <c r="BE10" s="1102">
        <v>36</v>
      </c>
      <c r="BF10" s="1102">
        <v>936</v>
      </c>
      <c r="BG10" s="1102" t="s">
        <v>94</v>
      </c>
      <c r="BH10" s="1102" t="s">
        <v>86</v>
      </c>
    </row>
    <row r="11" spans="1:60">
      <c r="A11" s="1102" t="s">
        <v>155</v>
      </c>
      <c r="B11" s="1102" t="s">
        <v>61</v>
      </c>
      <c r="C11" s="1102" t="s">
        <v>62</v>
      </c>
      <c r="D11" s="1102" t="s">
        <v>63</v>
      </c>
      <c r="E11" s="1102" t="s">
        <v>144</v>
      </c>
      <c r="F11" s="1102" t="s">
        <v>145</v>
      </c>
      <c r="G11" s="1102" t="s">
        <v>156</v>
      </c>
      <c r="H11" s="1102" t="s">
        <v>157</v>
      </c>
      <c r="I11" s="1102" t="s">
        <v>68</v>
      </c>
      <c r="J11" s="1102" t="s">
        <v>157</v>
      </c>
      <c r="K11" s="1102">
        <v>46011026</v>
      </c>
      <c r="M11" s="1102" t="s">
        <v>68</v>
      </c>
      <c r="N11" s="1102" t="s">
        <v>68</v>
      </c>
      <c r="O11" s="1102" t="s">
        <v>70</v>
      </c>
      <c r="P11" s="1102" t="s">
        <v>71</v>
      </c>
      <c r="Q11" s="1102" t="s">
        <v>72</v>
      </c>
      <c r="R11" s="1102" t="s">
        <v>73</v>
      </c>
      <c r="S11" s="1102" t="s">
        <v>74</v>
      </c>
      <c r="T11" s="1102">
        <v>500</v>
      </c>
      <c r="U11" s="1102">
        <v>2592</v>
      </c>
      <c r="V11" s="1102">
        <v>1.296</v>
      </c>
      <c r="W11" s="1102">
        <v>72</v>
      </c>
      <c r="X11" s="1102">
        <v>3</v>
      </c>
      <c r="Y11" s="1102" t="s">
        <v>75</v>
      </c>
      <c r="Z11" s="1102" t="s">
        <v>75</v>
      </c>
      <c r="AB11" s="1103">
        <v>46011</v>
      </c>
      <c r="AC11" s="1102">
        <v>51</v>
      </c>
      <c r="AD11" s="1102" t="s">
        <v>158</v>
      </c>
      <c r="AE11" s="1102">
        <v>371009338</v>
      </c>
      <c r="AF11" s="1102" t="s">
        <v>77</v>
      </c>
      <c r="AG11" s="1102" t="s">
        <v>61</v>
      </c>
      <c r="AH11" s="1102" t="s">
        <v>159</v>
      </c>
      <c r="AI11" s="1103">
        <v>46020</v>
      </c>
      <c r="AJ11" s="1103">
        <v>46022</v>
      </c>
      <c r="AK11" s="1103">
        <v>46020</v>
      </c>
      <c r="AL11" s="1103">
        <v>46088</v>
      </c>
      <c r="AM11" s="1103">
        <v>46106</v>
      </c>
      <c r="AN11" s="1103">
        <v>46106</v>
      </c>
      <c r="AO11" s="1102" t="s">
        <v>156</v>
      </c>
      <c r="AP11" s="1102" t="s">
        <v>160</v>
      </c>
      <c r="AQ11" s="1102" t="s">
        <v>161</v>
      </c>
      <c r="AR11" s="1102">
        <v>46011026</v>
      </c>
      <c r="AS11" s="1102">
        <v>1071458212</v>
      </c>
      <c r="AT11" s="1102" t="s">
        <v>162</v>
      </c>
      <c r="AU11" s="1102">
        <v>86</v>
      </c>
      <c r="AW11" s="1103">
        <v>46106</v>
      </c>
      <c r="AX11" s="1102" t="s">
        <v>84</v>
      </c>
      <c r="AY11" s="1103">
        <v>46026</v>
      </c>
      <c r="AZ11" s="1102" t="s">
        <v>152</v>
      </c>
      <c r="BA11" s="1103">
        <v>46106</v>
      </c>
      <c r="BB11" s="1102">
        <v>2026</v>
      </c>
      <c r="BC11" s="1102">
        <v>3</v>
      </c>
      <c r="BD11" s="1102">
        <v>13</v>
      </c>
      <c r="BE11" s="1102">
        <v>36</v>
      </c>
      <c r="BF11" s="1102">
        <v>864</v>
      </c>
      <c r="BG11" s="1102" t="s">
        <v>85</v>
      </c>
      <c r="BH11" s="1102" t="s">
        <v>109</v>
      </c>
    </row>
    <row r="12" spans="1:60">
      <c r="A12" s="1102" t="s">
        <v>163</v>
      </c>
      <c r="B12" s="1102" t="s">
        <v>61</v>
      </c>
      <c r="C12" s="1102" t="s">
        <v>99</v>
      </c>
      <c r="D12" s="1102" t="s">
        <v>63</v>
      </c>
      <c r="E12" s="1102" t="s">
        <v>64</v>
      </c>
      <c r="F12" s="1102" t="s">
        <v>100</v>
      </c>
      <c r="G12" s="1102" t="s">
        <v>66</v>
      </c>
      <c r="H12" s="1102" t="s">
        <v>67</v>
      </c>
      <c r="I12" s="1102" t="s">
        <v>68</v>
      </c>
      <c r="J12" s="1102" t="s">
        <v>101</v>
      </c>
      <c r="M12" s="1102" t="s">
        <v>68</v>
      </c>
      <c r="N12" s="1102" t="s">
        <v>68</v>
      </c>
      <c r="O12" s="1102" t="s">
        <v>70</v>
      </c>
      <c r="P12" s="1102" t="s">
        <v>102</v>
      </c>
      <c r="Q12" s="1102" t="s">
        <v>103</v>
      </c>
      <c r="R12" s="1102" t="s">
        <v>73</v>
      </c>
      <c r="S12" s="1102" t="s">
        <v>74</v>
      </c>
      <c r="T12" s="1102">
        <v>620</v>
      </c>
      <c r="U12" s="1102">
        <v>4320</v>
      </c>
      <c r="V12" s="1102">
        <v>2.6779999999999999</v>
      </c>
      <c r="W12" s="1102">
        <v>120</v>
      </c>
      <c r="X12" s="1102">
        <v>6</v>
      </c>
      <c r="Y12" s="1102" t="s">
        <v>75</v>
      </c>
      <c r="Z12" s="1102" t="s">
        <v>75</v>
      </c>
      <c r="AB12" s="1103">
        <v>46009</v>
      </c>
      <c r="AC12" s="1102">
        <v>51</v>
      </c>
      <c r="AD12" s="1102" t="s">
        <v>164</v>
      </c>
      <c r="AF12" s="1102" t="s">
        <v>77</v>
      </c>
      <c r="AG12" s="1102" t="s">
        <v>61</v>
      </c>
      <c r="AH12" s="1102" t="s">
        <v>105</v>
      </c>
      <c r="AI12" s="1103">
        <v>46017</v>
      </c>
      <c r="AJ12" s="1103">
        <v>46018</v>
      </c>
      <c r="AK12" s="1103">
        <v>46018</v>
      </c>
      <c r="AL12" s="1103">
        <v>46078</v>
      </c>
      <c r="AM12" s="1103">
        <v>46111</v>
      </c>
      <c r="AN12" s="1103">
        <v>46111</v>
      </c>
      <c r="AO12" s="1102" t="s">
        <v>66</v>
      </c>
      <c r="AP12" s="1102" t="s">
        <v>149</v>
      </c>
      <c r="AQ12" s="1102" t="s">
        <v>80</v>
      </c>
      <c r="AR12" s="1102" t="s">
        <v>165</v>
      </c>
      <c r="AS12" s="1102" t="s">
        <v>166</v>
      </c>
      <c r="AT12" s="1102" t="s">
        <v>166</v>
      </c>
      <c r="AU12" s="1102">
        <v>93</v>
      </c>
      <c r="AV12" s="1102" t="s">
        <v>83</v>
      </c>
      <c r="AW12" s="1103">
        <v>46111</v>
      </c>
      <c r="AX12" s="1102" t="s">
        <v>84</v>
      </c>
      <c r="AY12" s="1103">
        <v>46125</v>
      </c>
      <c r="AZ12" s="1102">
        <v>7</v>
      </c>
      <c r="BA12" s="1103">
        <v>46118</v>
      </c>
      <c r="BB12" s="1102">
        <v>2026</v>
      </c>
      <c r="BC12" s="1102">
        <v>4</v>
      </c>
      <c r="BD12" s="1102">
        <v>15</v>
      </c>
      <c r="BE12" s="1102">
        <v>36</v>
      </c>
      <c r="BF12" s="1102">
        <v>720</v>
      </c>
      <c r="BG12" s="1102" t="s">
        <v>108</v>
      </c>
      <c r="BH12" s="1102" t="s">
        <v>109</v>
      </c>
    </row>
    <row r="13" spans="1:60">
      <c r="A13" s="1102" t="s">
        <v>167</v>
      </c>
      <c r="B13" s="1102" t="s">
        <v>111</v>
      </c>
      <c r="C13" s="1102" t="s">
        <v>168</v>
      </c>
      <c r="D13" s="1102" t="s">
        <v>63</v>
      </c>
      <c r="E13" s="1102" t="s">
        <v>64</v>
      </c>
      <c r="F13" s="1102" t="s">
        <v>100</v>
      </c>
      <c r="G13" s="1102" t="s">
        <v>66</v>
      </c>
      <c r="H13" s="1102" t="s">
        <v>67</v>
      </c>
      <c r="I13" s="1102" t="s">
        <v>68</v>
      </c>
      <c r="J13" s="1102" t="s">
        <v>169</v>
      </c>
      <c r="M13" s="1102" t="s">
        <v>68</v>
      </c>
      <c r="N13" s="1102" t="s">
        <v>68</v>
      </c>
      <c r="O13" s="1102" t="s">
        <v>170</v>
      </c>
      <c r="P13" s="1102" t="s">
        <v>171</v>
      </c>
      <c r="Q13" s="1102" t="s">
        <v>172</v>
      </c>
      <c r="R13" s="1102" t="s">
        <v>73</v>
      </c>
      <c r="S13" s="1102" t="s">
        <v>120</v>
      </c>
      <c r="T13" s="1102">
        <v>555</v>
      </c>
      <c r="U13" s="1102">
        <v>1320</v>
      </c>
      <c r="V13" s="1102">
        <v>0.73299999999999998</v>
      </c>
      <c r="W13" s="1102">
        <v>40</v>
      </c>
      <c r="X13" s="1102">
        <v>2</v>
      </c>
      <c r="Y13" s="1102" t="s">
        <v>75</v>
      </c>
      <c r="Z13" s="1102" t="s">
        <v>75</v>
      </c>
      <c r="AB13" s="1103">
        <v>46013</v>
      </c>
      <c r="AC13" s="1102">
        <v>52</v>
      </c>
      <c r="AD13" s="1102" t="s">
        <v>173</v>
      </c>
      <c r="AF13" s="1102" t="s">
        <v>122</v>
      </c>
      <c r="AG13" s="1102" t="s">
        <v>123</v>
      </c>
      <c r="AH13" s="1102" t="s">
        <v>105</v>
      </c>
      <c r="AI13" s="1103">
        <v>46021</v>
      </c>
      <c r="AJ13" s="1103">
        <v>46031</v>
      </c>
      <c r="AK13" s="1103">
        <v>46030</v>
      </c>
      <c r="AL13" s="1103">
        <v>46075</v>
      </c>
      <c r="AM13" s="1103">
        <v>46111</v>
      </c>
      <c r="AN13" s="1103">
        <v>46111</v>
      </c>
      <c r="AO13" s="1102" t="s">
        <v>66</v>
      </c>
      <c r="AP13" s="1102" t="s">
        <v>174</v>
      </c>
      <c r="AQ13" s="1102" t="s">
        <v>80</v>
      </c>
      <c r="AR13" s="1102" t="s">
        <v>175</v>
      </c>
      <c r="AS13" s="1102" t="s">
        <v>176</v>
      </c>
      <c r="AT13" s="1102" t="s">
        <v>176</v>
      </c>
      <c r="AU13" s="1102">
        <v>81</v>
      </c>
      <c r="AW13" s="1103">
        <v>46111</v>
      </c>
      <c r="AX13" s="1102" t="s">
        <v>84</v>
      </c>
      <c r="AY13" s="1103">
        <v>46125</v>
      </c>
      <c r="AZ13" s="1102">
        <v>7</v>
      </c>
      <c r="BA13" s="1103">
        <v>46118</v>
      </c>
      <c r="BB13" s="1102">
        <v>2026</v>
      </c>
      <c r="BC13" s="1102">
        <v>4</v>
      </c>
      <c r="BD13" s="1102">
        <v>15</v>
      </c>
      <c r="BE13" s="1102">
        <v>33</v>
      </c>
      <c r="BF13" s="1102">
        <v>660</v>
      </c>
      <c r="BG13" s="1102" t="s">
        <v>108</v>
      </c>
      <c r="BH13" s="1102" t="s">
        <v>109</v>
      </c>
    </row>
    <row r="14" spans="1:60">
      <c r="A14" s="1102" t="s">
        <v>177</v>
      </c>
      <c r="B14" s="1102" t="s">
        <v>111</v>
      </c>
      <c r="C14" s="1102" t="s">
        <v>112</v>
      </c>
      <c r="D14" s="1102" t="s">
        <v>113</v>
      </c>
      <c r="E14" s="1102" t="s">
        <v>64</v>
      </c>
      <c r="F14" s="1102" t="s">
        <v>114</v>
      </c>
      <c r="G14" s="1102" t="s">
        <v>66</v>
      </c>
      <c r="H14" s="1102" t="s">
        <v>115</v>
      </c>
      <c r="I14" s="1102" t="s">
        <v>68</v>
      </c>
      <c r="J14" s="1102" t="s">
        <v>116</v>
      </c>
      <c r="K14" s="1102" t="s">
        <v>117</v>
      </c>
      <c r="M14" s="1102" t="s">
        <v>68</v>
      </c>
      <c r="N14" s="1102" t="s">
        <v>68</v>
      </c>
      <c r="O14" s="1102" t="s">
        <v>70</v>
      </c>
      <c r="P14" s="1102" t="s">
        <v>118</v>
      </c>
      <c r="Q14" s="1102" t="s">
        <v>119</v>
      </c>
      <c r="R14" s="1102" t="s">
        <v>73</v>
      </c>
      <c r="S14" s="1102" t="s">
        <v>120</v>
      </c>
      <c r="T14" s="1102">
        <v>640</v>
      </c>
      <c r="U14" s="1102">
        <v>1152</v>
      </c>
      <c r="V14" s="1102">
        <v>0.73699999999999999</v>
      </c>
      <c r="W14" s="1102">
        <v>32</v>
      </c>
      <c r="X14" s="1102">
        <v>2</v>
      </c>
      <c r="Y14" s="1102" t="s">
        <v>75</v>
      </c>
      <c r="Z14" s="1102" t="s">
        <v>75</v>
      </c>
      <c r="AB14" s="1103">
        <v>46018</v>
      </c>
      <c r="AC14" s="1102">
        <v>52</v>
      </c>
      <c r="AD14" s="1102" t="s">
        <v>178</v>
      </c>
      <c r="AF14" s="1102" t="s">
        <v>122</v>
      </c>
      <c r="AG14" s="1102" t="s">
        <v>123</v>
      </c>
      <c r="AH14" s="1102" t="s">
        <v>124</v>
      </c>
      <c r="AI14" s="1103">
        <v>46021</v>
      </c>
      <c r="AJ14" s="1103">
        <v>46031</v>
      </c>
      <c r="AK14" s="1103">
        <v>46030</v>
      </c>
      <c r="AL14" s="1103">
        <v>46065</v>
      </c>
      <c r="AM14" s="1103">
        <v>46088</v>
      </c>
      <c r="AN14" s="1103">
        <v>46089</v>
      </c>
      <c r="AO14" s="1102" t="s">
        <v>66</v>
      </c>
      <c r="AP14" s="1102" t="s">
        <v>174</v>
      </c>
      <c r="AQ14" s="1102" t="s">
        <v>80</v>
      </c>
      <c r="AR14" s="1102" t="s">
        <v>179</v>
      </c>
      <c r="AS14" s="1102" t="s">
        <v>180</v>
      </c>
      <c r="AT14" s="1102" t="s">
        <v>180</v>
      </c>
      <c r="AU14" s="1102">
        <v>59</v>
      </c>
      <c r="AW14" s="1103">
        <v>46089</v>
      </c>
      <c r="AX14" s="1102" t="s">
        <v>84</v>
      </c>
      <c r="AY14" s="1103">
        <v>46100</v>
      </c>
      <c r="AZ14" s="1102">
        <v>9</v>
      </c>
      <c r="BA14" s="1103">
        <v>46098</v>
      </c>
      <c r="BB14" s="1102">
        <v>2026</v>
      </c>
      <c r="BC14" s="1102">
        <v>3</v>
      </c>
      <c r="BD14" s="1102">
        <v>12</v>
      </c>
      <c r="BE14" s="1102">
        <v>36</v>
      </c>
      <c r="BF14" s="1102">
        <v>576</v>
      </c>
      <c r="BG14" s="1102" t="s">
        <v>128</v>
      </c>
      <c r="BH14" s="1102" t="s">
        <v>86</v>
      </c>
    </row>
    <row r="15" spans="1:60">
      <c r="A15" s="1102" t="s">
        <v>181</v>
      </c>
      <c r="B15" s="1102" t="s">
        <v>111</v>
      </c>
      <c r="C15" s="1102" t="s">
        <v>130</v>
      </c>
      <c r="D15" s="1102" t="s">
        <v>63</v>
      </c>
      <c r="E15" s="1102" t="s">
        <v>64</v>
      </c>
      <c r="F15" s="1102" t="s">
        <v>65</v>
      </c>
      <c r="G15" s="1102" t="s">
        <v>66</v>
      </c>
      <c r="H15" s="1102" t="s">
        <v>67</v>
      </c>
      <c r="I15" s="1102" t="s">
        <v>68</v>
      </c>
      <c r="J15" s="1102" t="s">
        <v>131</v>
      </c>
      <c r="M15" s="1102" t="s">
        <v>68</v>
      </c>
      <c r="N15" s="1102" t="s">
        <v>68</v>
      </c>
      <c r="O15" s="1102" t="s">
        <v>132</v>
      </c>
      <c r="P15" s="1102" t="s">
        <v>133</v>
      </c>
      <c r="Q15" s="1102" t="s">
        <v>134</v>
      </c>
      <c r="R15" s="1102" t="s">
        <v>73</v>
      </c>
      <c r="S15" s="1102" t="s">
        <v>120</v>
      </c>
      <c r="T15" s="1102">
        <v>720</v>
      </c>
      <c r="U15" s="1102">
        <v>4752</v>
      </c>
      <c r="V15" s="1102">
        <v>3.4209999999999998</v>
      </c>
      <c r="W15" s="1102">
        <v>144</v>
      </c>
      <c r="X15" s="1102">
        <v>8</v>
      </c>
      <c r="Y15" s="1102" t="s">
        <v>75</v>
      </c>
      <c r="Z15" s="1102" t="s">
        <v>75</v>
      </c>
      <c r="AB15" s="1103">
        <v>46021</v>
      </c>
      <c r="AC15" s="1102">
        <v>1</v>
      </c>
      <c r="AD15" s="1102" t="s">
        <v>182</v>
      </c>
      <c r="AF15" s="1102" t="s">
        <v>122</v>
      </c>
      <c r="AG15" s="1102" t="s">
        <v>123</v>
      </c>
      <c r="AH15" s="1102" t="s">
        <v>78</v>
      </c>
      <c r="AI15" s="1103">
        <v>46027</v>
      </c>
      <c r="AJ15" s="1103">
        <v>46029</v>
      </c>
      <c r="AK15" s="1103">
        <v>46030</v>
      </c>
      <c r="AL15" s="1103">
        <v>46073</v>
      </c>
      <c r="AM15" s="1103">
        <v>46098</v>
      </c>
      <c r="AN15" s="1103">
        <v>46099</v>
      </c>
      <c r="AO15" s="1102" t="s">
        <v>66</v>
      </c>
      <c r="AP15" s="1102" t="s">
        <v>183</v>
      </c>
      <c r="AQ15" s="1102" t="s">
        <v>80</v>
      </c>
      <c r="AR15" s="1102" t="s">
        <v>184</v>
      </c>
      <c r="AS15" s="1102" t="s">
        <v>185</v>
      </c>
      <c r="AT15" s="1102" t="s">
        <v>185</v>
      </c>
      <c r="AU15" s="1102">
        <v>69</v>
      </c>
      <c r="AW15" s="1103">
        <v>46099</v>
      </c>
      <c r="AX15" s="1102" t="s">
        <v>84</v>
      </c>
      <c r="AY15" s="1103">
        <v>46112</v>
      </c>
      <c r="AZ15" s="1102">
        <v>8</v>
      </c>
      <c r="BA15" s="1103">
        <v>46107</v>
      </c>
      <c r="BB15" s="1102">
        <v>2026</v>
      </c>
      <c r="BC15" s="1102">
        <v>3</v>
      </c>
      <c r="BD15" s="1102">
        <v>13</v>
      </c>
      <c r="BE15" s="1102">
        <v>33</v>
      </c>
      <c r="BF15" s="1102">
        <v>594</v>
      </c>
      <c r="BG15" s="1102" t="s">
        <v>108</v>
      </c>
      <c r="BH15" s="1102" t="s">
        <v>86</v>
      </c>
    </row>
    <row r="16" spans="1:60">
      <c r="A16" s="1102" t="s">
        <v>186</v>
      </c>
      <c r="B16" s="1102" t="s">
        <v>111</v>
      </c>
      <c r="C16" s="1102" t="s">
        <v>187</v>
      </c>
      <c r="D16" s="1102" t="s">
        <v>63</v>
      </c>
      <c r="E16" s="1102" t="s">
        <v>64</v>
      </c>
      <c r="F16" s="1102" t="s">
        <v>65</v>
      </c>
      <c r="G16" s="1102" t="s">
        <v>66</v>
      </c>
      <c r="H16" s="1102" t="s">
        <v>67</v>
      </c>
      <c r="I16" s="1102" t="s">
        <v>68</v>
      </c>
      <c r="J16" s="1102" t="s">
        <v>188</v>
      </c>
      <c r="M16" s="1102" t="s">
        <v>68</v>
      </c>
      <c r="N16" s="1102" t="s">
        <v>68</v>
      </c>
      <c r="O16" s="1102" t="s">
        <v>132</v>
      </c>
      <c r="P16" s="1102" t="s">
        <v>189</v>
      </c>
      <c r="Q16" s="1102" t="s">
        <v>190</v>
      </c>
      <c r="R16" s="1102" t="s">
        <v>73</v>
      </c>
      <c r="S16" s="1102" t="s">
        <v>74</v>
      </c>
      <c r="T16" s="1102">
        <v>465</v>
      </c>
      <c r="U16" s="1102">
        <v>4320</v>
      </c>
      <c r="V16" s="1102">
        <v>2.0089999999999999</v>
      </c>
      <c r="W16" s="1102">
        <v>120</v>
      </c>
      <c r="X16" s="1102">
        <v>5</v>
      </c>
      <c r="Y16" s="1102" t="s">
        <v>75</v>
      </c>
      <c r="Z16" s="1102" t="s">
        <v>75</v>
      </c>
      <c r="AB16" s="1103">
        <v>46021</v>
      </c>
      <c r="AC16" s="1102">
        <v>1</v>
      </c>
      <c r="AD16" s="1102" t="s">
        <v>191</v>
      </c>
      <c r="AF16" s="1102" t="s">
        <v>122</v>
      </c>
      <c r="AG16" s="1102" t="s">
        <v>123</v>
      </c>
      <c r="AH16" s="1102" t="s">
        <v>78</v>
      </c>
      <c r="AI16" s="1103">
        <v>46027</v>
      </c>
      <c r="AJ16" s="1103">
        <v>46029</v>
      </c>
      <c r="AK16" s="1103">
        <v>46030</v>
      </c>
      <c r="AL16" s="1103">
        <v>46073</v>
      </c>
      <c r="AM16" s="1103">
        <v>46098</v>
      </c>
      <c r="AN16" s="1103">
        <v>46099</v>
      </c>
      <c r="AO16" s="1102" t="s">
        <v>66</v>
      </c>
      <c r="AP16" s="1102" t="s">
        <v>183</v>
      </c>
      <c r="AQ16" s="1102" t="s">
        <v>80</v>
      </c>
      <c r="AR16" s="1102" t="s">
        <v>184</v>
      </c>
      <c r="AS16" s="1102" t="s">
        <v>185</v>
      </c>
      <c r="AT16" s="1102" t="s">
        <v>185</v>
      </c>
      <c r="AU16" s="1102">
        <v>69</v>
      </c>
      <c r="AW16" s="1103">
        <v>46099</v>
      </c>
      <c r="AX16" s="1102" t="s">
        <v>84</v>
      </c>
      <c r="AY16" s="1103">
        <v>46112</v>
      </c>
      <c r="AZ16" s="1102">
        <v>8</v>
      </c>
      <c r="BA16" s="1103">
        <v>46107</v>
      </c>
      <c r="BB16" s="1102">
        <v>2026</v>
      </c>
      <c r="BC16" s="1102">
        <v>3</v>
      </c>
      <c r="BD16" s="1102">
        <v>13</v>
      </c>
      <c r="BE16" s="1102">
        <v>36</v>
      </c>
      <c r="BF16" s="1102">
        <v>864</v>
      </c>
      <c r="BG16" s="1102" t="s">
        <v>108</v>
      </c>
      <c r="BH16" s="1102" t="s">
        <v>86</v>
      </c>
    </row>
    <row r="17" spans="1:60">
      <c r="A17" s="1102" t="s">
        <v>192</v>
      </c>
      <c r="B17" s="1102" t="s">
        <v>61</v>
      </c>
      <c r="C17" s="1102" t="s">
        <v>193</v>
      </c>
      <c r="D17" s="1102" t="s">
        <v>63</v>
      </c>
      <c r="E17" s="1102" t="s">
        <v>64</v>
      </c>
      <c r="F17" s="1102" t="s">
        <v>100</v>
      </c>
      <c r="G17" s="1102" t="s">
        <v>66</v>
      </c>
      <c r="H17" s="1102" t="s">
        <v>67</v>
      </c>
      <c r="I17" s="1102" t="s">
        <v>68</v>
      </c>
      <c r="J17" s="1102" t="s">
        <v>194</v>
      </c>
      <c r="K17" s="1102">
        <v>46011059</v>
      </c>
      <c r="M17" s="1102" t="s">
        <v>68</v>
      </c>
      <c r="N17" s="1102" t="s">
        <v>68</v>
      </c>
      <c r="O17" s="1102" t="s">
        <v>70</v>
      </c>
      <c r="P17" s="1102" t="s">
        <v>195</v>
      </c>
      <c r="Q17" s="1102" t="s">
        <v>196</v>
      </c>
      <c r="R17" s="1102" t="s">
        <v>73</v>
      </c>
      <c r="S17" s="1102" t="s">
        <v>74</v>
      </c>
      <c r="T17" s="1102">
        <v>450</v>
      </c>
      <c r="U17" s="1102">
        <v>1872</v>
      </c>
      <c r="V17" s="1102">
        <v>0.84199999999999997</v>
      </c>
      <c r="W17" s="1102">
        <v>52</v>
      </c>
      <c r="X17" s="1102">
        <v>2</v>
      </c>
      <c r="Y17" s="1102" t="s">
        <v>75</v>
      </c>
      <c r="Z17" s="1102" t="s">
        <v>75</v>
      </c>
      <c r="AA17" s="1102" t="s">
        <v>197</v>
      </c>
      <c r="AB17" s="1103">
        <v>46016</v>
      </c>
      <c r="AC17" s="1102">
        <v>52</v>
      </c>
      <c r="AD17" s="1102" t="s">
        <v>198</v>
      </c>
      <c r="AE17" s="1102" t="s">
        <v>197</v>
      </c>
      <c r="AF17" s="1102" t="s">
        <v>77</v>
      </c>
      <c r="AG17" s="1102" t="s">
        <v>61</v>
      </c>
      <c r="AH17" s="1102" t="s">
        <v>105</v>
      </c>
      <c r="AI17" s="1103">
        <v>46027</v>
      </c>
      <c r="AJ17" s="1103">
        <v>46027</v>
      </c>
      <c r="AK17" s="1103">
        <v>46027</v>
      </c>
      <c r="AL17" s="1103">
        <v>46081</v>
      </c>
      <c r="AM17" s="1103">
        <v>46094</v>
      </c>
      <c r="AN17" s="1103">
        <v>46094</v>
      </c>
      <c r="AO17" s="1102" t="s">
        <v>66</v>
      </c>
      <c r="AP17" s="1102" t="s">
        <v>199</v>
      </c>
      <c r="AQ17" s="1102" t="s">
        <v>80</v>
      </c>
      <c r="AR17" s="1102" t="s">
        <v>200</v>
      </c>
      <c r="AS17" s="1102" t="s">
        <v>201</v>
      </c>
      <c r="AT17" s="1102" t="s">
        <v>201</v>
      </c>
      <c r="AU17" s="1102">
        <v>67</v>
      </c>
      <c r="AV17" s="1102" t="s">
        <v>83</v>
      </c>
      <c r="AW17" s="1103">
        <v>46094</v>
      </c>
      <c r="AX17" s="1102" t="s">
        <v>84</v>
      </c>
      <c r="AY17" s="1103">
        <v>46097</v>
      </c>
      <c r="AZ17" s="1102">
        <v>7</v>
      </c>
      <c r="BA17" s="1103">
        <v>46101</v>
      </c>
      <c r="BB17" s="1102">
        <v>2026</v>
      </c>
      <c r="BC17" s="1102">
        <v>3</v>
      </c>
      <c r="BD17" s="1102">
        <v>12</v>
      </c>
      <c r="BE17" s="1102">
        <v>36</v>
      </c>
      <c r="BF17" s="1102">
        <v>936</v>
      </c>
      <c r="BG17" s="1102" t="s">
        <v>85</v>
      </c>
      <c r="BH17" s="1102" t="s">
        <v>109</v>
      </c>
    </row>
    <row r="18" spans="1:60">
      <c r="A18" s="1102" t="s">
        <v>202</v>
      </c>
      <c r="B18" s="1102" t="s">
        <v>61</v>
      </c>
      <c r="C18" s="1102" t="s">
        <v>203</v>
      </c>
      <c r="D18" s="1102" t="s">
        <v>63</v>
      </c>
      <c r="E18" s="1102" t="s">
        <v>64</v>
      </c>
      <c r="F18" s="1102" t="s">
        <v>65</v>
      </c>
      <c r="G18" s="1102" t="s">
        <v>66</v>
      </c>
      <c r="H18" s="1102" t="s">
        <v>67</v>
      </c>
      <c r="I18" s="1102" t="s">
        <v>68</v>
      </c>
      <c r="J18" s="1102" t="s">
        <v>96</v>
      </c>
      <c r="M18" s="1102" t="s">
        <v>68</v>
      </c>
      <c r="N18" s="1102" t="s">
        <v>68</v>
      </c>
      <c r="O18" s="1102" t="s">
        <v>70</v>
      </c>
      <c r="P18" s="1102" t="s">
        <v>204</v>
      </c>
      <c r="Q18" s="1102" t="s">
        <v>205</v>
      </c>
      <c r="R18" s="1102" t="s">
        <v>73</v>
      </c>
      <c r="S18" s="1102" t="s">
        <v>74</v>
      </c>
      <c r="T18" s="1102">
        <v>455</v>
      </c>
      <c r="U18" s="1102">
        <v>5616</v>
      </c>
      <c r="V18" s="1102">
        <v>2.5550000000000002</v>
      </c>
      <c r="W18" s="1102">
        <v>156</v>
      </c>
      <c r="X18" s="1102">
        <v>6</v>
      </c>
      <c r="Y18" s="1102" t="s">
        <v>75</v>
      </c>
      <c r="Z18" s="1102" t="s">
        <v>75</v>
      </c>
      <c r="AA18" s="1102" t="s">
        <v>197</v>
      </c>
      <c r="AB18" s="1103">
        <v>46016</v>
      </c>
      <c r="AC18" s="1102">
        <v>52</v>
      </c>
      <c r="AD18" s="1102" t="s">
        <v>206</v>
      </c>
      <c r="AE18" s="1102" t="s">
        <v>197</v>
      </c>
      <c r="AF18" s="1102" t="s">
        <v>77</v>
      </c>
      <c r="AG18" s="1102" t="s">
        <v>61</v>
      </c>
      <c r="AH18" s="1102" t="s">
        <v>78</v>
      </c>
      <c r="AI18" s="1103">
        <v>46027</v>
      </c>
      <c r="AJ18" s="1103">
        <v>46027</v>
      </c>
      <c r="AK18" s="1103">
        <v>46027</v>
      </c>
      <c r="AL18" s="1103">
        <v>46090</v>
      </c>
      <c r="AM18" s="1103">
        <v>46101</v>
      </c>
      <c r="AN18" s="1103">
        <v>46102</v>
      </c>
      <c r="AO18" s="1102" t="s">
        <v>66</v>
      </c>
      <c r="AP18" s="1102" t="s">
        <v>199</v>
      </c>
      <c r="AQ18" s="1102" t="s">
        <v>80</v>
      </c>
      <c r="AR18" s="1102" t="s">
        <v>207</v>
      </c>
      <c r="AS18" s="1102" t="s">
        <v>208</v>
      </c>
      <c r="AT18" s="1102" t="s">
        <v>208</v>
      </c>
      <c r="AU18" s="1102">
        <v>75</v>
      </c>
      <c r="AV18" s="1102" t="s">
        <v>83</v>
      </c>
      <c r="AW18" s="1103">
        <v>46102</v>
      </c>
      <c r="AX18" s="1102" t="s">
        <v>84</v>
      </c>
      <c r="AY18" s="1103">
        <v>46115</v>
      </c>
      <c r="AZ18" s="1102">
        <v>8</v>
      </c>
      <c r="BA18" s="1103">
        <v>46110</v>
      </c>
      <c r="BB18" s="1102">
        <v>2026</v>
      </c>
      <c r="BC18" s="1102">
        <v>3</v>
      </c>
      <c r="BD18" s="1102">
        <v>13</v>
      </c>
      <c r="BE18" s="1102">
        <v>36</v>
      </c>
      <c r="BF18" s="1102">
        <v>936</v>
      </c>
      <c r="BG18" s="1102" t="s">
        <v>94</v>
      </c>
      <c r="BH18" s="1102" t="s">
        <v>86</v>
      </c>
    </row>
    <row r="19" spans="1:60">
      <c r="A19" s="1102" t="s">
        <v>209</v>
      </c>
      <c r="B19" s="1102" t="s">
        <v>111</v>
      </c>
      <c r="C19" s="1102" t="s">
        <v>168</v>
      </c>
      <c r="D19" s="1102" t="s">
        <v>63</v>
      </c>
      <c r="E19" s="1102" t="s">
        <v>64</v>
      </c>
      <c r="F19" s="1102" t="s">
        <v>100</v>
      </c>
      <c r="G19" s="1102" t="s">
        <v>66</v>
      </c>
      <c r="H19" s="1102" t="s">
        <v>67</v>
      </c>
      <c r="I19" s="1102" t="s">
        <v>68</v>
      </c>
      <c r="J19" s="1102" t="s">
        <v>96</v>
      </c>
      <c r="M19" s="1102" t="s">
        <v>68</v>
      </c>
      <c r="N19" s="1102" t="s">
        <v>68</v>
      </c>
      <c r="O19" s="1102" t="s">
        <v>170</v>
      </c>
      <c r="P19" s="1102" t="s">
        <v>171</v>
      </c>
      <c r="Q19" s="1102" t="s">
        <v>172</v>
      </c>
      <c r="R19" s="1102" t="s">
        <v>73</v>
      </c>
      <c r="S19" s="1102" t="s">
        <v>120</v>
      </c>
      <c r="T19" s="1102">
        <v>555</v>
      </c>
      <c r="U19" s="1102">
        <v>660</v>
      </c>
      <c r="V19" s="1102">
        <v>0.36599999999999999</v>
      </c>
      <c r="W19" s="1102">
        <v>20</v>
      </c>
      <c r="X19" s="1102">
        <v>1</v>
      </c>
      <c r="Y19" s="1102" t="s">
        <v>75</v>
      </c>
      <c r="Z19" s="1102" t="s">
        <v>75</v>
      </c>
      <c r="AB19" s="1103">
        <v>46028</v>
      </c>
      <c r="AC19" s="1102">
        <v>2</v>
      </c>
      <c r="AD19" s="1102" t="s">
        <v>210</v>
      </c>
      <c r="AF19" s="1102" t="s">
        <v>122</v>
      </c>
      <c r="AG19" s="1102" t="s">
        <v>123</v>
      </c>
      <c r="AH19" s="1102" t="s">
        <v>105</v>
      </c>
      <c r="AI19" s="1103">
        <v>46031</v>
      </c>
      <c r="AJ19" s="1103">
        <v>46036</v>
      </c>
      <c r="AK19" s="1103">
        <v>46035</v>
      </c>
      <c r="AL19" s="1103">
        <v>46069</v>
      </c>
      <c r="AM19" s="1103">
        <v>46087</v>
      </c>
      <c r="AN19" s="1103">
        <v>46087</v>
      </c>
      <c r="AO19" s="1102" t="s">
        <v>66</v>
      </c>
      <c r="AP19" s="1102" t="s">
        <v>211</v>
      </c>
      <c r="AQ19" s="1102" t="s">
        <v>80</v>
      </c>
      <c r="AR19" s="1102" t="s">
        <v>212</v>
      </c>
      <c r="AS19" s="1102" t="s">
        <v>213</v>
      </c>
      <c r="AT19" s="1102" t="s">
        <v>213</v>
      </c>
      <c r="AU19" s="1102">
        <v>52</v>
      </c>
      <c r="AW19" s="1103">
        <v>46087</v>
      </c>
      <c r="AX19" s="1102" t="s">
        <v>84</v>
      </c>
      <c r="AY19" s="1103">
        <v>46101</v>
      </c>
      <c r="AZ19" s="1102">
        <v>7</v>
      </c>
      <c r="BA19" s="1103">
        <v>46094</v>
      </c>
      <c r="BB19" s="1102">
        <v>2026</v>
      </c>
      <c r="BC19" s="1102">
        <v>3</v>
      </c>
      <c r="BD19" s="1102">
        <v>11</v>
      </c>
      <c r="BE19" s="1102">
        <v>33</v>
      </c>
      <c r="BF19" s="1102">
        <v>660</v>
      </c>
      <c r="BG19" s="1102" t="s">
        <v>108</v>
      </c>
      <c r="BH19" s="1102" t="s">
        <v>109</v>
      </c>
    </row>
    <row r="20" spans="1:60">
      <c r="A20" s="1102" t="s">
        <v>214</v>
      </c>
      <c r="B20" s="1102" t="s">
        <v>111</v>
      </c>
      <c r="C20" s="1102" t="s">
        <v>215</v>
      </c>
      <c r="D20" s="1102" t="s">
        <v>113</v>
      </c>
      <c r="E20" s="1102" t="s">
        <v>64</v>
      </c>
      <c r="F20" s="1102" t="s">
        <v>100</v>
      </c>
      <c r="G20" s="1102" t="s">
        <v>66</v>
      </c>
      <c r="H20" s="1102" t="s">
        <v>67</v>
      </c>
      <c r="I20" s="1102" t="s">
        <v>68</v>
      </c>
      <c r="J20" s="1102" t="s">
        <v>216</v>
      </c>
      <c r="K20" s="1102" t="s">
        <v>217</v>
      </c>
      <c r="M20" s="1102" t="s">
        <v>68</v>
      </c>
      <c r="N20" s="1102" t="s">
        <v>68</v>
      </c>
      <c r="O20" s="1102" t="s">
        <v>70</v>
      </c>
      <c r="P20" s="1102" t="s">
        <v>218</v>
      </c>
      <c r="Q20" s="1102" t="s">
        <v>219</v>
      </c>
      <c r="R20" s="1102" t="s">
        <v>73</v>
      </c>
      <c r="S20" s="1102" t="s">
        <v>120</v>
      </c>
      <c r="T20" s="1102">
        <v>625</v>
      </c>
      <c r="U20" s="1102">
        <v>2880</v>
      </c>
      <c r="V20" s="1102">
        <v>1.8</v>
      </c>
      <c r="W20" s="1102">
        <v>80</v>
      </c>
      <c r="X20" s="1102">
        <v>4</v>
      </c>
      <c r="Y20" s="1102" t="s">
        <v>75</v>
      </c>
      <c r="Z20" s="1102" t="s">
        <v>75</v>
      </c>
      <c r="AB20" s="1103">
        <v>46028</v>
      </c>
      <c r="AC20" s="1102">
        <v>2</v>
      </c>
      <c r="AD20" s="1102" t="s">
        <v>220</v>
      </c>
      <c r="AF20" s="1102" t="s">
        <v>122</v>
      </c>
      <c r="AG20" s="1102" t="s">
        <v>123</v>
      </c>
      <c r="AH20" s="1102" t="s">
        <v>105</v>
      </c>
      <c r="AI20" s="1103">
        <v>46033</v>
      </c>
      <c r="AJ20" s="1103">
        <v>46033</v>
      </c>
      <c r="AK20" s="1103">
        <v>46032</v>
      </c>
      <c r="AL20" s="1103">
        <v>46070</v>
      </c>
      <c r="AM20" s="1103">
        <v>46074</v>
      </c>
      <c r="AN20" s="1103">
        <v>46078</v>
      </c>
      <c r="AO20" s="1102" t="s">
        <v>66</v>
      </c>
      <c r="AP20" s="1102" t="s">
        <v>221</v>
      </c>
      <c r="AQ20" s="1102" t="s">
        <v>161</v>
      </c>
      <c r="AR20" s="1102" t="s">
        <v>222</v>
      </c>
      <c r="AS20" s="1102" t="s">
        <v>223</v>
      </c>
      <c r="AT20" s="1102" t="s">
        <v>223</v>
      </c>
      <c r="AU20" s="1102">
        <v>46</v>
      </c>
      <c r="AW20" s="1103">
        <v>46078</v>
      </c>
      <c r="AX20" s="1102" t="s">
        <v>84</v>
      </c>
      <c r="AY20" s="1103">
        <v>46090</v>
      </c>
      <c r="AZ20" s="1102">
        <v>7</v>
      </c>
      <c r="BA20" s="1103">
        <v>46085</v>
      </c>
      <c r="BB20" s="1102">
        <v>2026</v>
      </c>
      <c r="BC20" s="1102">
        <v>3</v>
      </c>
      <c r="BD20" s="1102">
        <v>10</v>
      </c>
      <c r="BE20" s="1102">
        <v>36</v>
      </c>
      <c r="BF20" s="1102">
        <v>720</v>
      </c>
      <c r="BG20" s="1102" t="s">
        <v>128</v>
      </c>
      <c r="BH20" s="1102" t="s">
        <v>109</v>
      </c>
    </row>
    <row r="21" spans="1:60">
      <c r="A21" s="1102" t="s">
        <v>224</v>
      </c>
      <c r="B21" s="1102" t="s">
        <v>111</v>
      </c>
      <c r="C21" s="1102" t="s">
        <v>215</v>
      </c>
      <c r="D21" s="1102" t="s">
        <v>113</v>
      </c>
      <c r="E21" s="1102" t="s">
        <v>64</v>
      </c>
      <c r="F21" s="1102" t="s">
        <v>100</v>
      </c>
      <c r="G21" s="1102" t="s">
        <v>66</v>
      </c>
      <c r="H21" s="1102" t="s">
        <v>67</v>
      </c>
      <c r="I21" s="1102" t="s">
        <v>68</v>
      </c>
      <c r="J21" s="1102" t="s">
        <v>216</v>
      </c>
      <c r="K21" s="1102" t="s">
        <v>217</v>
      </c>
      <c r="M21" s="1102" t="s">
        <v>68</v>
      </c>
      <c r="N21" s="1102" t="s">
        <v>68</v>
      </c>
      <c r="O21" s="1102" t="s">
        <v>70</v>
      </c>
      <c r="P21" s="1102" t="s">
        <v>218</v>
      </c>
      <c r="Q21" s="1102" t="s">
        <v>219</v>
      </c>
      <c r="R21" s="1102" t="s">
        <v>73</v>
      </c>
      <c r="S21" s="1102" t="s">
        <v>120</v>
      </c>
      <c r="T21" s="1102">
        <v>625</v>
      </c>
      <c r="U21" s="1102">
        <v>5040</v>
      </c>
      <c r="V21" s="1102">
        <v>3.15</v>
      </c>
      <c r="W21" s="1102">
        <v>140</v>
      </c>
      <c r="X21" s="1102">
        <v>7</v>
      </c>
      <c r="Y21" s="1102" t="s">
        <v>75</v>
      </c>
      <c r="Z21" s="1102" t="s">
        <v>75</v>
      </c>
      <c r="AB21" s="1103">
        <v>46028</v>
      </c>
      <c r="AC21" s="1102">
        <v>2</v>
      </c>
      <c r="AD21" s="1102" t="s">
        <v>225</v>
      </c>
      <c r="AF21" s="1102" t="s">
        <v>122</v>
      </c>
      <c r="AG21" s="1102" t="s">
        <v>123</v>
      </c>
      <c r="AH21" s="1102" t="s">
        <v>105</v>
      </c>
      <c r="AI21" s="1103">
        <v>46033</v>
      </c>
      <c r="AJ21" s="1103">
        <v>46033</v>
      </c>
      <c r="AK21" s="1103">
        <v>46032</v>
      </c>
      <c r="AL21" s="1103">
        <v>46070</v>
      </c>
      <c r="AM21" s="1103">
        <v>46074</v>
      </c>
      <c r="AN21" s="1103">
        <v>46078</v>
      </c>
      <c r="AO21" s="1102" t="s">
        <v>66</v>
      </c>
      <c r="AP21" s="1102" t="s">
        <v>221</v>
      </c>
      <c r="AQ21" s="1102" t="s">
        <v>161</v>
      </c>
      <c r="AR21" s="1102" t="s">
        <v>222</v>
      </c>
      <c r="AS21" s="1102" t="s">
        <v>223</v>
      </c>
      <c r="AT21" s="1102" t="s">
        <v>223</v>
      </c>
      <c r="AU21" s="1102">
        <v>46</v>
      </c>
      <c r="AW21" s="1103">
        <v>46078</v>
      </c>
      <c r="AX21" s="1102" t="s">
        <v>84</v>
      </c>
      <c r="AY21" s="1103">
        <v>46090</v>
      </c>
      <c r="AZ21" s="1102">
        <v>7</v>
      </c>
      <c r="BA21" s="1103">
        <v>46085</v>
      </c>
      <c r="BB21" s="1102">
        <v>2026</v>
      </c>
      <c r="BC21" s="1102">
        <v>3</v>
      </c>
      <c r="BD21" s="1102">
        <v>10</v>
      </c>
      <c r="BE21" s="1102">
        <v>36</v>
      </c>
      <c r="BF21" s="1102">
        <v>720</v>
      </c>
      <c r="BG21" s="1102" t="s">
        <v>128</v>
      </c>
      <c r="BH21" s="1102" t="s">
        <v>109</v>
      </c>
    </row>
    <row r="22" spans="1:60">
      <c r="A22" s="1102" t="s">
        <v>226</v>
      </c>
      <c r="B22" s="1102" t="s">
        <v>111</v>
      </c>
      <c r="C22" s="1102" t="s">
        <v>168</v>
      </c>
      <c r="D22" s="1102" t="s">
        <v>63</v>
      </c>
      <c r="E22" s="1102" t="s">
        <v>64</v>
      </c>
      <c r="F22" s="1102" t="s">
        <v>65</v>
      </c>
      <c r="G22" s="1102" t="s">
        <v>66</v>
      </c>
      <c r="H22" s="1102" t="s">
        <v>67</v>
      </c>
      <c r="I22" s="1102" t="s">
        <v>68</v>
      </c>
      <c r="J22" s="1102" t="s">
        <v>96</v>
      </c>
      <c r="M22" s="1102" t="s">
        <v>68</v>
      </c>
      <c r="N22" s="1102" t="s">
        <v>68</v>
      </c>
      <c r="O22" s="1102" t="s">
        <v>170</v>
      </c>
      <c r="P22" s="1102" t="s">
        <v>171</v>
      </c>
      <c r="Q22" s="1102" t="s">
        <v>172</v>
      </c>
      <c r="R22" s="1102" t="s">
        <v>73</v>
      </c>
      <c r="S22" s="1102" t="s">
        <v>120</v>
      </c>
      <c r="T22" s="1102">
        <v>555</v>
      </c>
      <c r="U22" s="1102">
        <v>1320</v>
      </c>
      <c r="V22" s="1102">
        <v>0.73299999999999998</v>
      </c>
      <c r="W22" s="1102">
        <v>40</v>
      </c>
      <c r="X22" s="1102">
        <v>2</v>
      </c>
      <c r="Y22" s="1102" t="s">
        <v>75</v>
      </c>
      <c r="Z22" s="1102" t="s">
        <v>75</v>
      </c>
      <c r="AB22" s="1103">
        <v>46024</v>
      </c>
      <c r="AC22" s="1102">
        <v>1</v>
      </c>
      <c r="AD22" s="1102" t="s">
        <v>227</v>
      </c>
      <c r="AF22" s="1102" t="s">
        <v>122</v>
      </c>
      <c r="AG22" s="1102" t="s">
        <v>123</v>
      </c>
      <c r="AH22" s="1102" t="s">
        <v>78</v>
      </c>
      <c r="AI22" s="1103">
        <v>46028</v>
      </c>
      <c r="AJ22" s="1103">
        <v>46029</v>
      </c>
      <c r="AK22" s="1103">
        <v>46029</v>
      </c>
      <c r="AL22" s="1103">
        <v>46077</v>
      </c>
      <c r="AM22" s="1103">
        <v>46083</v>
      </c>
      <c r="AN22" s="1103">
        <v>46083</v>
      </c>
      <c r="AO22" s="1102" t="s">
        <v>66</v>
      </c>
      <c r="AP22" s="1102" t="s">
        <v>228</v>
      </c>
      <c r="AQ22" s="1102" t="s">
        <v>80</v>
      </c>
      <c r="AR22" s="1102" t="s">
        <v>229</v>
      </c>
      <c r="AS22" s="1102" t="s">
        <v>230</v>
      </c>
      <c r="AT22" s="1102" t="s">
        <v>230</v>
      </c>
      <c r="AU22" s="1102">
        <v>54</v>
      </c>
      <c r="AW22" s="1103">
        <v>46083</v>
      </c>
      <c r="AX22" s="1102" t="s">
        <v>84</v>
      </c>
      <c r="AY22" s="1103">
        <v>46097</v>
      </c>
      <c r="AZ22" s="1102">
        <v>8</v>
      </c>
      <c r="BA22" s="1103">
        <v>46091</v>
      </c>
      <c r="BB22" s="1102">
        <v>2026</v>
      </c>
      <c r="BC22" s="1102">
        <v>3</v>
      </c>
      <c r="BD22" s="1102">
        <v>11</v>
      </c>
      <c r="BE22" s="1102">
        <v>33</v>
      </c>
      <c r="BF22" s="1102">
        <v>660</v>
      </c>
      <c r="BG22" s="1102" t="s">
        <v>108</v>
      </c>
      <c r="BH22" s="1102" t="s">
        <v>86</v>
      </c>
    </row>
    <row r="23" spans="1:60">
      <c r="A23" s="1102" t="s">
        <v>231</v>
      </c>
      <c r="B23" s="1102" t="s">
        <v>111</v>
      </c>
      <c r="C23" s="1102" t="s">
        <v>168</v>
      </c>
      <c r="D23" s="1102" t="s">
        <v>63</v>
      </c>
      <c r="E23" s="1102" t="s">
        <v>64</v>
      </c>
      <c r="F23" s="1102" t="s">
        <v>65</v>
      </c>
      <c r="G23" s="1102" t="s">
        <v>66</v>
      </c>
      <c r="H23" s="1102" t="s">
        <v>67</v>
      </c>
      <c r="I23" s="1102" t="s">
        <v>68</v>
      </c>
      <c r="J23" s="1102" t="s">
        <v>232</v>
      </c>
      <c r="M23" s="1102" t="s">
        <v>68</v>
      </c>
      <c r="N23" s="1102" t="s">
        <v>68</v>
      </c>
      <c r="O23" s="1102" t="s">
        <v>170</v>
      </c>
      <c r="P23" s="1102" t="s">
        <v>171</v>
      </c>
      <c r="Q23" s="1102" t="s">
        <v>172</v>
      </c>
      <c r="R23" s="1102" t="s">
        <v>73</v>
      </c>
      <c r="S23" s="1102" t="s">
        <v>120</v>
      </c>
      <c r="T23" s="1102">
        <v>555</v>
      </c>
      <c r="U23" s="1102">
        <v>1320</v>
      </c>
      <c r="V23" s="1102">
        <v>0.73299999999999998</v>
      </c>
      <c r="W23" s="1102">
        <v>40</v>
      </c>
      <c r="X23" s="1102">
        <v>2</v>
      </c>
      <c r="Y23" s="1102" t="s">
        <v>75</v>
      </c>
      <c r="Z23" s="1102" t="s">
        <v>75</v>
      </c>
      <c r="AB23" s="1103">
        <v>46024</v>
      </c>
      <c r="AC23" s="1102">
        <v>1</v>
      </c>
      <c r="AD23" s="1102" t="s">
        <v>233</v>
      </c>
      <c r="AF23" s="1102" t="s">
        <v>122</v>
      </c>
      <c r="AG23" s="1102" t="s">
        <v>123</v>
      </c>
      <c r="AH23" s="1102" t="s">
        <v>78</v>
      </c>
      <c r="AI23" s="1103">
        <v>46028</v>
      </c>
      <c r="AJ23" s="1103">
        <v>46029</v>
      </c>
      <c r="AK23" s="1103">
        <v>46029</v>
      </c>
      <c r="AL23" s="1103">
        <v>46077</v>
      </c>
      <c r="AM23" s="1103">
        <v>46083</v>
      </c>
      <c r="AN23" s="1103">
        <v>46083</v>
      </c>
      <c r="AO23" s="1102" t="s">
        <v>66</v>
      </c>
      <c r="AP23" s="1102" t="s">
        <v>234</v>
      </c>
      <c r="AQ23" s="1102" t="s">
        <v>80</v>
      </c>
      <c r="AR23" s="1102" t="s">
        <v>229</v>
      </c>
      <c r="AS23" s="1102" t="s">
        <v>230</v>
      </c>
      <c r="AT23" s="1102" t="s">
        <v>230</v>
      </c>
      <c r="AU23" s="1102">
        <v>54</v>
      </c>
      <c r="AW23" s="1103">
        <v>46083</v>
      </c>
      <c r="AX23" s="1102" t="s">
        <v>84</v>
      </c>
      <c r="AY23" s="1103">
        <v>46097</v>
      </c>
      <c r="AZ23" s="1102">
        <v>8</v>
      </c>
      <c r="BA23" s="1103">
        <v>46091</v>
      </c>
      <c r="BB23" s="1102">
        <v>2026</v>
      </c>
      <c r="BC23" s="1102">
        <v>3</v>
      </c>
      <c r="BD23" s="1102">
        <v>11</v>
      </c>
      <c r="BE23" s="1102">
        <v>33</v>
      </c>
      <c r="BF23" s="1102">
        <v>660</v>
      </c>
      <c r="BG23" s="1102" t="s">
        <v>108</v>
      </c>
      <c r="BH23" s="1102" t="s">
        <v>86</v>
      </c>
    </row>
    <row r="24" spans="1:60">
      <c r="A24" s="1102" t="s">
        <v>235</v>
      </c>
      <c r="B24" s="1102" t="s">
        <v>111</v>
      </c>
      <c r="C24" s="1102" t="s">
        <v>112</v>
      </c>
      <c r="D24" s="1102" t="s">
        <v>113</v>
      </c>
      <c r="E24" s="1102" t="s">
        <v>64</v>
      </c>
      <c r="F24" s="1102" t="s">
        <v>114</v>
      </c>
      <c r="G24" s="1102" t="s">
        <v>66</v>
      </c>
      <c r="H24" s="1102" t="s">
        <v>115</v>
      </c>
      <c r="I24" s="1102" t="s">
        <v>68</v>
      </c>
      <c r="J24" s="1102" t="s">
        <v>116</v>
      </c>
      <c r="K24" s="1102" t="s">
        <v>117</v>
      </c>
      <c r="M24" s="1102" t="s">
        <v>68</v>
      </c>
      <c r="N24" s="1102" t="s">
        <v>68</v>
      </c>
      <c r="O24" s="1102" t="s">
        <v>70</v>
      </c>
      <c r="P24" s="1102" t="s">
        <v>118</v>
      </c>
      <c r="Q24" s="1102" t="s">
        <v>119</v>
      </c>
      <c r="R24" s="1102" t="s">
        <v>73</v>
      </c>
      <c r="S24" s="1102" t="s">
        <v>120</v>
      </c>
      <c r="T24" s="1102">
        <v>640</v>
      </c>
      <c r="U24" s="1102">
        <v>1152</v>
      </c>
      <c r="V24" s="1102">
        <v>0.73699999999999999</v>
      </c>
      <c r="W24" s="1102">
        <v>32</v>
      </c>
      <c r="X24" s="1102">
        <v>2</v>
      </c>
      <c r="Y24" s="1102" t="s">
        <v>75</v>
      </c>
      <c r="Z24" s="1102" t="s">
        <v>75</v>
      </c>
      <c r="AB24" s="1103">
        <v>46024</v>
      </c>
      <c r="AC24" s="1102">
        <v>1</v>
      </c>
      <c r="AD24" s="1102" t="s">
        <v>236</v>
      </c>
      <c r="AF24" s="1102" t="s">
        <v>122</v>
      </c>
      <c r="AG24" s="1102" t="s">
        <v>123</v>
      </c>
      <c r="AH24" s="1102" t="s">
        <v>124</v>
      </c>
      <c r="AI24" s="1103">
        <v>46028</v>
      </c>
      <c r="AJ24" s="1103">
        <v>46029</v>
      </c>
      <c r="AK24" s="1103">
        <v>46029</v>
      </c>
      <c r="AL24" s="1103">
        <v>46072</v>
      </c>
      <c r="AM24" s="1103">
        <v>46072</v>
      </c>
      <c r="AN24" s="1103">
        <v>46075</v>
      </c>
      <c r="AO24" s="1102" t="s">
        <v>66</v>
      </c>
      <c r="AP24" s="1102" t="s">
        <v>228</v>
      </c>
      <c r="AQ24" s="1102" t="s">
        <v>80</v>
      </c>
      <c r="AR24" s="1102" t="s">
        <v>237</v>
      </c>
      <c r="AS24" s="1102" t="s">
        <v>238</v>
      </c>
      <c r="AT24" s="1102" t="s">
        <v>238</v>
      </c>
      <c r="AU24" s="1102">
        <v>46</v>
      </c>
      <c r="AW24" s="1103">
        <v>46075</v>
      </c>
      <c r="AX24" s="1102" t="s">
        <v>84</v>
      </c>
      <c r="AY24" s="1103">
        <v>46086</v>
      </c>
      <c r="AZ24" s="1102">
        <v>9</v>
      </c>
      <c r="BA24" s="1103">
        <v>46084</v>
      </c>
      <c r="BB24" s="1102">
        <v>2026</v>
      </c>
      <c r="BC24" s="1102">
        <v>3</v>
      </c>
      <c r="BD24" s="1102">
        <v>10</v>
      </c>
      <c r="BE24" s="1102">
        <v>36</v>
      </c>
      <c r="BF24" s="1102">
        <v>576</v>
      </c>
      <c r="BG24" s="1102" t="s">
        <v>128</v>
      </c>
      <c r="BH24" s="1102" t="s">
        <v>86</v>
      </c>
    </row>
    <row r="25" spans="1:60">
      <c r="A25" s="1102" t="s">
        <v>239</v>
      </c>
      <c r="B25" s="1102" t="s">
        <v>111</v>
      </c>
      <c r="C25" s="1102" t="s">
        <v>112</v>
      </c>
      <c r="D25" s="1102" t="s">
        <v>113</v>
      </c>
      <c r="E25" s="1102" t="s">
        <v>64</v>
      </c>
      <c r="F25" s="1102" t="s">
        <v>114</v>
      </c>
      <c r="G25" s="1102" t="s">
        <v>66</v>
      </c>
      <c r="H25" s="1102" t="s">
        <v>115</v>
      </c>
      <c r="I25" s="1102" t="s">
        <v>68</v>
      </c>
      <c r="J25" s="1102" t="s">
        <v>116</v>
      </c>
      <c r="K25" s="1102" t="s">
        <v>117</v>
      </c>
      <c r="M25" s="1102" t="s">
        <v>68</v>
      </c>
      <c r="N25" s="1102" t="s">
        <v>68</v>
      </c>
      <c r="O25" s="1102" t="s">
        <v>70</v>
      </c>
      <c r="P25" s="1102" t="s">
        <v>118</v>
      </c>
      <c r="Q25" s="1102" t="s">
        <v>119</v>
      </c>
      <c r="R25" s="1102" t="s">
        <v>73</v>
      </c>
      <c r="S25" s="1102" t="s">
        <v>120</v>
      </c>
      <c r="T25" s="1102">
        <v>640</v>
      </c>
      <c r="U25" s="1102">
        <v>967</v>
      </c>
      <c r="V25" s="1102">
        <v>0.61899999999999999</v>
      </c>
      <c r="W25" s="1102">
        <v>26.9</v>
      </c>
      <c r="X25" s="1102">
        <v>1.7</v>
      </c>
      <c r="Y25" s="1102" t="s">
        <v>75</v>
      </c>
      <c r="Z25" s="1102" t="s">
        <v>75</v>
      </c>
      <c r="AB25" s="1103">
        <v>46027</v>
      </c>
      <c r="AC25" s="1102">
        <v>2</v>
      </c>
      <c r="AD25" s="1102" t="s">
        <v>240</v>
      </c>
      <c r="AF25" s="1102" t="s">
        <v>122</v>
      </c>
      <c r="AG25" s="1102" t="s">
        <v>123</v>
      </c>
      <c r="AH25" s="1102" t="s">
        <v>124</v>
      </c>
      <c r="AI25" s="1103">
        <v>46032</v>
      </c>
      <c r="AJ25" s="1103">
        <v>45670</v>
      </c>
      <c r="AK25" s="1103">
        <v>46035</v>
      </c>
      <c r="AL25" s="1103">
        <v>46072</v>
      </c>
      <c r="AM25" s="1103">
        <v>46076</v>
      </c>
      <c r="AN25" s="1103">
        <v>46078</v>
      </c>
      <c r="AO25" s="1102" t="s">
        <v>66</v>
      </c>
      <c r="AP25" s="1102" t="s">
        <v>241</v>
      </c>
      <c r="AQ25" s="1102" t="s">
        <v>80</v>
      </c>
      <c r="AR25" s="1102" t="s">
        <v>242</v>
      </c>
      <c r="AS25" s="1102" t="s">
        <v>243</v>
      </c>
      <c r="AT25" s="1102" t="s">
        <v>243</v>
      </c>
      <c r="AU25" s="1102">
        <v>43</v>
      </c>
      <c r="AW25" s="1103">
        <v>46078</v>
      </c>
      <c r="AX25" s="1102" t="s">
        <v>84</v>
      </c>
      <c r="AY25" s="1103">
        <v>46092</v>
      </c>
      <c r="AZ25" s="1102">
        <v>9</v>
      </c>
      <c r="BA25" s="1103">
        <v>46087</v>
      </c>
      <c r="BB25" s="1102">
        <v>2026</v>
      </c>
      <c r="BC25" s="1102">
        <v>3</v>
      </c>
      <c r="BD25" s="1102">
        <v>10</v>
      </c>
      <c r="BE25" s="1102">
        <v>36</v>
      </c>
      <c r="BF25" s="1102">
        <v>576</v>
      </c>
      <c r="BG25" s="1102" t="s">
        <v>128</v>
      </c>
      <c r="BH25" s="1102" t="s">
        <v>86</v>
      </c>
    </row>
    <row r="26" spans="1:60">
      <c r="A26" s="1102" t="s">
        <v>244</v>
      </c>
      <c r="B26" s="1102" t="s">
        <v>111</v>
      </c>
      <c r="C26" s="1102" t="s">
        <v>112</v>
      </c>
      <c r="D26" s="1102" t="s">
        <v>113</v>
      </c>
      <c r="E26" s="1102" t="s">
        <v>64</v>
      </c>
      <c r="F26" s="1102" t="s">
        <v>114</v>
      </c>
      <c r="G26" s="1102" t="s">
        <v>66</v>
      </c>
      <c r="H26" s="1102" t="s">
        <v>115</v>
      </c>
      <c r="I26" s="1102" t="s">
        <v>68</v>
      </c>
      <c r="J26" s="1102" t="s">
        <v>116</v>
      </c>
      <c r="K26" s="1102" t="s">
        <v>117</v>
      </c>
      <c r="M26" s="1102" t="s">
        <v>68</v>
      </c>
      <c r="N26" s="1102" t="s">
        <v>68</v>
      </c>
      <c r="O26" s="1102" t="s">
        <v>70</v>
      </c>
      <c r="P26" s="1102" t="s">
        <v>118</v>
      </c>
      <c r="Q26" s="1102" t="s">
        <v>119</v>
      </c>
      <c r="R26" s="1102" t="s">
        <v>73</v>
      </c>
      <c r="S26" s="1102" t="s">
        <v>120</v>
      </c>
      <c r="T26" s="1102">
        <v>640</v>
      </c>
      <c r="U26" s="1102">
        <v>761</v>
      </c>
      <c r="V26" s="1102">
        <v>0.48699999999999999</v>
      </c>
      <c r="W26" s="1102">
        <v>21.1</v>
      </c>
      <c r="X26" s="1102">
        <v>1.3</v>
      </c>
      <c r="Y26" s="1102" t="s">
        <v>75</v>
      </c>
      <c r="Z26" s="1102" t="s">
        <v>75</v>
      </c>
      <c r="AB26" s="1103">
        <v>46027</v>
      </c>
      <c r="AC26" s="1102">
        <v>2</v>
      </c>
      <c r="AD26" s="1102" t="s">
        <v>240</v>
      </c>
      <c r="AF26" s="1102" t="s">
        <v>122</v>
      </c>
      <c r="AG26" s="1102" t="s">
        <v>123</v>
      </c>
      <c r="AH26" s="1102" t="s">
        <v>124</v>
      </c>
      <c r="AI26" s="1103">
        <v>46032</v>
      </c>
      <c r="AJ26" s="1103">
        <v>45670</v>
      </c>
      <c r="AK26" s="1103">
        <v>46035</v>
      </c>
      <c r="AL26" s="1103">
        <v>46072</v>
      </c>
      <c r="AM26" s="1103">
        <v>46076</v>
      </c>
      <c r="AN26" s="1103">
        <v>46078</v>
      </c>
      <c r="AO26" s="1102" t="s">
        <v>66</v>
      </c>
      <c r="AP26" s="1102" t="s">
        <v>241</v>
      </c>
      <c r="AQ26" s="1102" t="s">
        <v>80</v>
      </c>
      <c r="AR26" s="1102" t="s">
        <v>242</v>
      </c>
      <c r="AS26" s="1102" t="s">
        <v>243</v>
      </c>
      <c r="AT26" s="1102" t="s">
        <v>243</v>
      </c>
      <c r="AU26" s="1102">
        <v>43</v>
      </c>
      <c r="AW26" s="1103">
        <v>46078</v>
      </c>
      <c r="AX26" s="1102" t="s">
        <v>84</v>
      </c>
      <c r="AY26" s="1103">
        <v>46092</v>
      </c>
      <c r="AZ26" s="1102">
        <v>9</v>
      </c>
      <c r="BA26" s="1103">
        <v>46087</v>
      </c>
      <c r="BB26" s="1102">
        <v>2026</v>
      </c>
      <c r="BC26" s="1102">
        <v>3</v>
      </c>
      <c r="BD26" s="1102">
        <v>10</v>
      </c>
      <c r="BE26" s="1102">
        <v>36</v>
      </c>
      <c r="BF26" s="1102">
        <v>576</v>
      </c>
      <c r="BG26" s="1102" t="s">
        <v>128</v>
      </c>
      <c r="BH26" s="1102" t="s">
        <v>86</v>
      </c>
    </row>
    <row r="27" spans="1:60">
      <c r="A27" s="1102" t="s">
        <v>245</v>
      </c>
      <c r="B27" s="1102" t="s">
        <v>111</v>
      </c>
      <c r="C27" s="1102" t="s">
        <v>112</v>
      </c>
      <c r="D27" s="1102" t="s">
        <v>113</v>
      </c>
      <c r="E27" s="1102" t="s">
        <v>64</v>
      </c>
      <c r="F27" s="1102" t="s">
        <v>114</v>
      </c>
      <c r="G27" s="1102" t="s">
        <v>66</v>
      </c>
      <c r="H27" s="1102" t="s">
        <v>115</v>
      </c>
      <c r="I27" s="1102" t="s">
        <v>68</v>
      </c>
      <c r="J27" s="1102" t="s">
        <v>116</v>
      </c>
      <c r="K27" s="1102" t="s">
        <v>117</v>
      </c>
      <c r="M27" s="1102" t="s">
        <v>68</v>
      </c>
      <c r="N27" s="1102" t="s">
        <v>68</v>
      </c>
      <c r="O27" s="1102" t="s">
        <v>70</v>
      </c>
      <c r="P27" s="1102" t="s">
        <v>118</v>
      </c>
      <c r="Q27" s="1102" t="s">
        <v>119</v>
      </c>
      <c r="R27" s="1102" t="s">
        <v>73</v>
      </c>
      <c r="S27" s="1102" t="s">
        <v>120</v>
      </c>
      <c r="T27" s="1102">
        <v>640</v>
      </c>
      <c r="U27" s="1102">
        <v>1728</v>
      </c>
      <c r="V27" s="1102">
        <v>1.1060000000000001</v>
      </c>
      <c r="W27" s="1102">
        <v>48</v>
      </c>
      <c r="X27" s="1102">
        <v>3</v>
      </c>
      <c r="Y27" s="1102" t="s">
        <v>75</v>
      </c>
      <c r="Z27" s="1102" t="s">
        <v>75</v>
      </c>
      <c r="AB27" s="1103">
        <v>46026</v>
      </c>
      <c r="AC27" s="1102">
        <v>1</v>
      </c>
      <c r="AD27" s="1102" t="s">
        <v>246</v>
      </c>
      <c r="AF27" s="1102" t="s">
        <v>122</v>
      </c>
      <c r="AG27" s="1102" t="s">
        <v>123</v>
      </c>
      <c r="AH27" s="1102" t="s">
        <v>124</v>
      </c>
      <c r="AI27" s="1103">
        <v>46031</v>
      </c>
      <c r="AK27" s="1103">
        <v>46030</v>
      </c>
      <c r="AL27" s="1103">
        <v>46086</v>
      </c>
      <c r="AM27" s="1103">
        <v>46088</v>
      </c>
      <c r="AN27" s="1103">
        <v>46089</v>
      </c>
      <c r="AO27" s="1102" t="s">
        <v>66</v>
      </c>
      <c r="AP27" s="1102" t="s">
        <v>247</v>
      </c>
      <c r="AQ27" s="1102" t="s">
        <v>80</v>
      </c>
      <c r="AR27" s="1102" t="s">
        <v>248</v>
      </c>
      <c r="AS27" s="1102" t="s">
        <v>249</v>
      </c>
      <c r="AT27" s="1102" t="s">
        <v>249</v>
      </c>
      <c r="AU27" s="1102">
        <v>59</v>
      </c>
      <c r="AW27" s="1103">
        <v>46089</v>
      </c>
      <c r="AX27" s="1102" t="s">
        <v>84</v>
      </c>
      <c r="AY27" s="1103">
        <v>46100</v>
      </c>
      <c r="AZ27" s="1102">
        <v>9</v>
      </c>
      <c r="BA27" s="1103">
        <v>46098</v>
      </c>
      <c r="BB27" s="1102">
        <v>2026</v>
      </c>
      <c r="BC27" s="1102">
        <v>3</v>
      </c>
      <c r="BD27" s="1102">
        <v>12</v>
      </c>
      <c r="BE27" s="1102">
        <v>36</v>
      </c>
      <c r="BF27" s="1102">
        <v>576</v>
      </c>
      <c r="BG27" s="1102" t="s">
        <v>128</v>
      </c>
      <c r="BH27" s="1102" t="s">
        <v>86</v>
      </c>
    </row>
    <row r="28" spans="1:60">
      <c r="A28" s="1102" t="s">
        <v>250</v>
      </c>
      <c r="B28" s="1102" t="s">
        <v>111</v>
      </c>
      <c r="C28" s="1102" t="s">
        <v>187</v>
      </c>
      <c r="D28" s="1102" t="s">
        <v>63</v>
      </c>
      <c r="E28" s="1102" t="s">
        <v>64</v>
      </c>
      <c r="F28" s="1102" t="s">
        <v>65</v>
      </c>
      <c r="G28" s="1102" t="s">
        <v>66</v>
      </c>
      <c r="H28" s="1102" t="s">
        <v>67</v>
      </c>
      <c r="I28" s="1102" t="s">
        <v>68</v>
      </c>
      <c r="J28" s="1102" t="s">
        <v>188</v>
      </c>
      <c r="M28" s="1102" t="s">
        <v>68</v>
      </c>
      <c r="N28" s="1102" t="s">
        <v>68</v>
      </c>
      <c r="O28" s="1102" t="s">
        <v>132</v>
      </c>
      <c r="P28" s="1102" t="s">
        <v>189</v>
      </c>
      <c r="Q28" s="1102" t="s">
        <v>190</v>
      </c>
      <c r="R28" s="1102" t="s">
        <v>73</v>
      </c>
      <c r="S28" s="1102" t="s">
        <v>74</v>
      </c>
      <c r="T28" s="1102">
        <v>465</v>
      </c>
      <c r="U28" s="1102">
        <v>1728</v>
      </c>
      <c r="V28" s="1102">
        <v>0.80400000000000005</v>
      </c>
      <c r="W28" s="1102">
        <v>48</v>
      </c>
      <c r="X28" s="1102">
        <v>2</v>
      </c>
      <c r="Y28" s="1102" t="s">
        <v>75</v>
      </c>
      <c r="Z28" s="1102" t="s">
        <v>75</v>
      </c>
      <c r="AB28" s="1103">
        <v>46026</v>
      </c>
      <c r="AC28" s="1102">
        <v>1</v>
      </c>
      <c r="AD28" s="1102" t="s">
        <v>251</v>
      </c>
      <c r="AF28" s="1102" t="s">
        <v>122</v>
      </c>
      <c r="AG28" s="1102" t="s">
        <v>123</v>
      </c>
      <c r="AH28" s="1102" t="s">
        <v>78</v>
      </c>
      <c r="AI28" s="1103">
        <v>46031</v>
      </c>
      <c r="AK28" s="1103">
        <v>46030</v>
      </c>
      <c r="AL28" s="1103">
        <v>46078</v>
      </c>
      <c r="AM28" s="1103">
        <v>46083</v>
      </c>
      <c r="AN28" s="1103">
        <v>46084</v>
      </c>
      <c r="AO28" s="1102" t="s">
        <v>66</v>
      </c>
      <c r="AP28" s="1102" t="s">
        <v>247</v>
      </c>
      <c r="AQ28" s="1102" t="s">
        <v>80</v>
      </c>
      <c r="AR28" s="1102" t="s">
        <v>252</v>
      </c>
      <c r="AS28" s="1102" t="s">
        <v>253</v>
      </c>
      <c r="AT28" s="1102" t="s">
        <v>253</v>
      </c>
      <c r="AU28" s="1102">
        <v>54</v>
      </c>
      <c r="AW28" s="1103">
        <v>46084</v>
      </c>
      <c r="AX28" s="1102" t="s">
        <v>84</v>
      </c>
      <c r="AY28" s="1103">
        <v>46097</v>
      </c>
      <c r="AZ28" s="1102">
        <v>8</v>
      </c>
      <c r="BA28" s="1103">
        <v>46092</v>
      </c>
      <c r="BB28" s="1102">
        <v>2026</v>
      </c>
      <c r="BC28" s="1102">
        <v>3</v>
      </c>
      <c r="BD28" s="1102">
        <v>11</v>
      </c>
      <c r="BE28" s="1102">
        <v>36</v>
      </c>
      <c r="BF28" s="1102">
        <v>864</v>
      </c>
      <c r="BG28" s="1102" t="s">
        <v>108</v>
      </c>
      <c r="BH28" s="1102" t="s">
        <v>86</v>
      </c>
    </row>
    <row r="29" spans="1:60">
      <c r="A29" s="1102" t="s">
        <v>254</v>
      </c>
      <c r="B29" s="1102" t="s">
        <v>111</v>
      </c>
      <c r="C29" s="1102" t="s">
        <v>187</v>
      </c>
      <c r="D29" s="1102" t="s">
        <v>63</v>
      </c>
      <c r="E29" s="1102" t="s">
        <v>64</v>
      </c>
      <c r="F29" s="1102" t="s">
        <v>100</v>
      </c>
      <c r="G29" s="1102" t="s">
        <v>66</v>
      </c>
      <c r="H29" s="1102" t="s">
        <v>67</v>
      </c>
      <c r="I29" s="1102" t="s">
        <v>68</v>
      </c>
      <c r="J29" s="1102" t="s">
        <v>101</v>
      </c>
      <c r="M29" s="1102" t="s">
        <v>68</v>
      </c>
      <c r="N29" s="1102" t="s">
        <v>68</v>
      </c>
      <c r="O29" s="1102" t="s">
        <v>132</v>
      </c>
      <c r="P29" s="1102" t="s">
        <v>189</v>
      </c>
      <c r="Q29" s="1102" t="s">
        <v>190</v>
      </c>
      <c r="R29" s="1102" t="s">
        <v>73</v>
      </c>
      <c r="S29" s="1102" t="s">
        <v>74</v>
      </c>
      <c r="T29" s="1102">
        <v>465</v>
      </c>
      <c r="U29" s="1102">
        <v>864</v>
      </c>
      <c r="V29" s="1102">
        <v>0.40200000000000002</v>
      </c>
      <c r="W29" s="1102">
        <v>24</v>
      </c>
      <c r="X29" s="1102">
        <v>1</v>
      </c>
      <c r="Y29" s="1102" t="s">
        <v>75</v>
      </c>
      <c r="Z29" s="1102" t="s">
        <v>75</v>
      </c>
      <c r="AB29" s="1103">
        <v>46026</v>
      </c>
      <c r="AC29" s="1102">
        <v>1</v>
      </c>
      <c r="AD29" s="1102" t="s">
        <v>255</v>
      </c>
      <c r="AF29" s="1102" t="s">
        <v>122</v>
      </c>
      <c r="AG29" s="1102" t="s">
        <v>123</v>
      </c>
      <c r="AH29" s="1102" t="s">
        <v>105</v>
      </c>
      <c r="AI29" s="1103">
        <v>46031</v>
      </c>
      <c r="AK29" s="1103">
        <v>46030</v>
      </c>
      <c r="AL29" s="1103">
        <v>46080</v>
      </c>
      <c r="AM29" s="1103">
        <v>46111</v>
      </c>
      <c r="AN29" s="1103">
        <v>46111</v>
      </c>
      <c r="AO29" s="1102" t="s">
        <v>66</v>
      </c>
      <c r="AP29" s="1102" t="s">
        <v>247</v>
      </c>
      <c r="AQ29" s="1102" t="s">
        <v>80</v>
      </c>
      <c r="AR29" s="1102" t="s">
        <v>256</v>
      </c>
      <c r="AS29" s="1102" t="s">
        <v>257</v>
      </c>
      <c r="AT29" s="1102" t="s">
        <v>257</v>
      </c>
      <c r="AU29" s="1102">
        <v>81</v>
      </c>
      <c r="AW29" s="1103">
        <v>46111</v>
      </c>
      <c r="AX29" s="1102" t="s">
        <v>84</v>
      </c>
      <c r="AY29" s="1103">
        <v>46146</v>
      </c>
      <c r="AZ29" s="1102">
        <v>7</v>
      </c>
      <c r="BA29" s="1103">
        <v>46118</v>
      </c>
      <c r="BB29" s="1102">
        <v>2026</v>
      </c>
      <c r="BC29" s="1102">
        <v>4</v>
      </c>
      <c r="BD29" s="1102">
        <v>15</v>
      </c>
      <c r="BE29" s="1102">
        <v>36</v>
      </c>
      <c r="BF29" s="1102">
        <v>864</v>
      </c>
      <c r="BG29" s="1102" t="s">
        <v>108</v>
      </c>
      <c r="BH29" s="1102" t="s">
        <v>109</v>
      </c>
    </row>
    <row r="30" spans="1:60">
      <c r="A30" s="1102" t="s">
        <v>258</v>
      </c>
      <c r="B30" s="1102" t="s">
        <v>111</v>
      </c>
      <c r="C30" s="1102" t="s">
        <v>168</v>
      </c>
      <c r="D30" s="1102" t="s">
        <v>63</v>
      </c>
      <c r="E30" s="1102" t="s">
        <v>64</v>
      </c>
      <c r="F30" s="1102" t="s">
        <v>100</v>
      </c>
      <c r="G30" s="1102" t="s">
        <v>66</v>
      </c>
      <c r="H30" s="1102" t="s">
        <v>67</v>
      </c>
      <c r="I30" s="1102" t="s">
        <v>68</v>
      </c>
      <c r="J30" s="1102" t="s">
        <v>169</v>
      </c>
      <c r="M30" s="1102" t="s">
        <v>68</v>
      </c>
      <c r="N30" s="1102" t="s">
        <v>68</v>
      </c>
      <c r="O30" s="1102" t="s">
        <v>170</v>
      </c>
      <c r="P30" s="1102" t="s">
        <v>171</v>
      </c>
      <c r="Q30" s="1102" t="s">
        <v>172</v>
      </c>
      <c r="R30" s="1102" t="s">
        <v>73</v>
      </c>
      <c r="S30" s="1102" t="s">
        <v>120</v>
      </c>
      <c r="T30" s="1102">
        <v>555</v>
      </c>
      <c r="U30" s="1102">
        <v>660</v>
      </c>
      <c r="V30" s="1102">
        <v>0.36599999999999999</v>
      </c>
      <c r="W30" s="1102">
        <v>20</v>
      </c>
      <c r="X30" s="1102">
        <v>1</v>
      </c>
      <c r="Y30" s="1102" t="s">
        <v>75</v>
      </c>
      <c r="Z30" s="1102" t="s">
        <v>75</v>
      </c>
      <c r="AB30" s="1103">
        <v>46026</v>
      </c>
      <c r="AC30" s="1102">
        <v>1</v>
      </c>
      <c r="AD30" s="1102" t="s">
        <v>259</v>
      </c>
      <c r="AF30" s="1102" t="s">
        <v>122</v>
      </c>
      <c r="AG30" s="1102" t="s">
        <v>123</v>
      </c>
      <c r="AH30" s="1102" t="s">
        <v>105</v>
      </c>
      <c r="AI30" s="1103">
        <v>46031</v>
      </c>
      <c r="AK30" s="1103">
        <v>46030</v>
      </c>
      <c r="AL30" s="1103">
        <v>46080</v>
      </c>
      <c r="AM30" s="1103">
        <v>46111</v>
      </c>
      <c r="AN30" s="1103">
        <v>46111</v>
      </c>
      <c r="AO30" s="1102" t="s">
        <v>66</v>
      </c>
      <c r="AP30" s="1102" t="s">
        <v>247</v>
      </c>
      <c r="AQ30" s="1102" t="s">
        <v>80</v>
      </c>
      <c r="AR30" s="1102" t="s">
        <v>256</v>
      </c>
      <c r="AS30" s="1102" t="s">
        <v>257</v>
      </c>
      <c r="AT30" s="1102" t="s">
        <v>257</v>
      </c>
      <c r="AU30" s="1102">
        <v>81</v>
      </c>
      <c r="AW30" s="1103">
        <v>46111</v>
      </c>
      <c r="AX30" s="1102" t="s">
        <v>84</v>
      </c>
      <c r="AY30" s="1103">
        <v>46125</v>
      </c>
      <c r="AZ30" s="1102">
        <v>7</v>
      </c>
      <c r="BA30" s="1103">
        <v>46118</v>
      </c>
      <c r="BB30" s="1102">
        <v>2026</v>
      </c>
      <c r="BC30" s="1102">
        <v>4</v>
      </c>
      <c r="BD30" s="1102">
        <v>15</v>
      </c>
      <c r="BE30" s="1102">
        <v>33</v>
      </c>
      <c r="BF30" s="1102">
        <v>660</v>
      </c>
      <c r="BG30" s="1102" t="s">
        <v>108</v>
      </c>
      <c r="BH30" s="1102" t="s">
        <v>109</v>
      </c>
    </row>
    <row r="31" spans="1:60">
      <c r="A31" s="1102" t="s">
        <v>260</v>
      </c>
      <c r="B31" s="1102" t="s">
        <v>111</v>
      </c>
      <c r="C31" s="1102" t="s">
        <v>168</v>
      </c>
      <c r="D31" s="1102" t="s">
        <v>63</v>
      </c>
      <c r="E31" s="1102" t="s">
        <v>64</v>
      </c>
      <c r="F31" s="1102" t="s">
        <v>100</v>
      </c>
      <c r="G31" s="1102" t="s">
        <v>66</v>
      </c>
      <c r="H31" s="1102" t="s">
        <v>67</v>
      </c>
      <c r="I31" s="1102" t="s">
        <v>68</v>
      </c>
      <c r="J31" s="1102" t="s">
        <v>96</v>
      </c>
      <c r="M31" s="1102" t="s">
        <v>68</v>
      </c>
      <c r="N31" s="1102" t="s">
        <v>68</v>
      </c>
      <c r="O31" s="1102" t="s">
        <v>170</v>
      </c>
      <c r="P31" s="1102" t="s">
        <v>171</v>
      </c>
      <c r="Q31" s="1102" t="s">
        <v>172</v>
      </c>
      <c r="R31" s="1102" t="s">
        <v>73</v>
      </c>
      <c r="S31" s="1102" t="s">
        <v>120</v>
      </c>
      <c r="T31" s="1102">
        <v>555</v>
      </c>
      <c r="U31" s="1102">
        <v>1320</v>
      </c>
      <c r="V31" s="1102">
        <v>0.73299999999999998</v>
      </c>
      <c r="W31" s="1102">
        <v>40</v>
      </c>
      <c r="X31" s="1102">
        <v>2</v>
      </c>
      <c r="Y31" s="1102" t="s">
        <v>75</v>
      </c>
      <c r="Z31" s="1102" t="s">
        <v>75</v>
      </c>
      <c r="AB31" s="1103">
        <v>46029</v>
      </c>
      <c r="AC31" s="1102">
        <v>2</v>
      </c>
      <c r="AD31" s="1102" t="s">
        <v>261</v>
      </c>
      <c r="AF31" s="1102" t="s">
        <v>122</v>
      </c>
      <c r="AG31" s="1102" t="s">
        <v>123</v>
      </c>
      <c r="AH31" s="1102" t="s">
        <v>105</v>
      </c>
      <c r="AI31" s="1103">
        <v>46035</v>
      </c>
      <c r="AJ31" s="1103">
        <v>46037</v>
      </c>
      <c r="AK31" s="1103">
        <v>46037</v>
      </c>
      <c r="AL31" s="1103">
        <v>46071</v>
      </c>
      <c r="AM31" s="1103">
        <v>46083</v>
      </c>
      <c r="AN31" s="1103">
        <v>46083</v>
      </c>
      <c r="AO31" s="1102" t="s">
        <v>66</v>
      </c>
      <c r="AP31" s="1102" t="s">
        <v>262</v>
      </c>
      <c r="AQ31" s="1102" t="s">
        <v>80</v>
      </c>
      <c r="AR31" s="1102" t="s">
        <v>263</v>
      </c>
      <c r="AS31" s="1102" t="s">
        <v>264</v>
      </c>
      <c r="AT31" s="1102" t="s">
        <v>264</v>
      </c>
      <c r="AU31" s="1102">
        <v>46</v>
      </c>
      <c r="AW31" s="1103">
        <v>46083</v>
      </c>
      <c r="AX31" s="1102" t="s">
        <v>84</v>
      </c>
      <c r="AY31" s="1103">
        <v>46097</v>
      </c>
      <c r="AZ31" s="1102">
        <v>7</v>
      </c>
      <c r="BA31" s="1103">
        <v>46090</v>
      </c>
      <c r="BB31" s="1102">
        <v>2026</v>
      </c>
      <c r="BC31" s="1102">
        <v>3</v>
      </c>
      <c r="BD31" s="1102">
        <v>11</v>
      </c>
      <c r="BE31" s="1102">
        <v>33</v>
      </c>
      <c r="BF31" s="1102">
        <v>660</v>
      </c>
      <c r="BG31" s="1102" t="s">
        <v>108</v>
      </c>
      <c r="BH31" s="1102" t="s">
        <v>109</v>
      </c>
    </row>
    <row r="32" spans="1:60">
      <c r="A32" s="1102" t="s">
        <v>265</v>
      </c>
      <c r="B32" s="1102" t="s">
        <v>111</v>
      </c>
      <c r="C32" s="1102" t="s">
        <v>112</v>
      </c>
      <c r="D32" s="1102" t="s">
        <v>113</v>
      </c>
      <c r="E32" s="1102" t="s">
        <v>64</v>
      </c>
      <c r="F32" s="1102" t="s">
        <v>114</v>
      </c>
      <c r="G32" s="1102" t="s">
        <v>66</v>
      </c>
      <c r="H32" s="1102" t="s">
        <v>115</v>
      </c>
      <c r="I32" s="1102" t="s">
        <v>68</v>
      </c>
      <c r="J32" s="1102" t="s">
        <v>116</v>
      </c>
      <c r="K32" s="1102" t="s">
        <v>266</v>
      </c>
      <c r="M32" s="1102" t="s">
        <v>68</v>
      </c>
      <c r="N32" s="1102" t="s">
        <v>68</v>
      </c>
      <c r="O32" s="1102" t="s">
        <v>70</v>
      </c>
      <c r="P32" s="1102" t="s">
        <v>118</v>
      </c>
      <c r="Q32" s="1102" t="s">
        <v>119</v>
      </c>
      <c r="R32" s="1102" t="s">
        <v>73</v>
      </c>
      <c r="S32" s="1102" t="s">
        <v>120</v>
      </c>
      <c r="T32" s="1102">
        <v>640</v>
      </c>
      <c r="U32" s="1102">
        <v>1152</v>
      </c>
      <c r="V32" s="1102">
        <v>0.73699999999999999</v>
      </c>
      <c r="W32" s="1102">
        <v>32</v>
      </c>
      <c r="X32" s="1102">
        <v>2</v>
      </c>
      <c r="Y32" s="1102" t="s">
        <v>75</v>
      </c>
      <c r="Z32" s="1102" t="s">
        <v>75</v>
      </c>
      <c r="AB32" s="1103">
        <v>46034</v>
      </c>
      <c r="AC32" s="1102">
        <v>3</v>
      </c>
      <c r="AD32" s="1102" t="s">
        <v>267</v>
      </c>
      <c r="AF32" s="1102" t="s">
        <v>122</v>
      </c>
      <c r="AG32" s="1102" t="s">
        <v>123</v>
      </c>
      <c r="AH32" s="1102" t="s">
        <v>124</v>
      </c>
      <c r="AI32" s="1103">
        <v>46042</v>
      </c>
      <c r="AJ32" s="1103">
        <v>46044</v>
      </c>
      <c r="AK32" s="1103">
        <v>46044</v>
      </c>
      <c r="AL32" s="1103">
        <v>46081</v>
      </c>
      <c r="AM32" s="1103">
        <v>46083</v>
      </c>
      <c r="AN32" s="1103">
        <v>46084</v>
      </c>
      <c r="AO32" s="1102" t="s">
        <v>66</v>
      </c>
      <c r="AP32" s="1102" t="s">
        <v>268</v>
      </c>
      <c r="AQ32" s="1102" t="s">
        <v>80</v>
      </c>
      <c r="AR32" s="1102" t="s">
        <v>269</v>
      </c>
      <c r="AS32" s="1102" t="s">
        <v>270</v>
      </c>
      <c r="AT32" s="1102" t="s">
        <v>270</v>
      </c>
      <c r="AU32" s="1102">
        <v>40</v>
      </c>
      <c r="AW32" s="1103">
        <v>46084</v>
      </c>
      <c r="AX32" s="1102" t="s">
        <v>84</v>
      </c>
      <c r="AY32" s="1103">
        <v>46095</v>
      </c>
      <c r="AZ32" s="1102">
        <v>9</v>
      </c>
      <c r="BA32" s="1103">
        <v>46093</v>
      </c>
      <c r="BB32" s="1102">
        <v>2026</v>
      </c>
      <c r="BC32" s="1102">
        <v>3</v>
      </c>
      <c r="BD32" s="1102">
        <v>11</v>
      </c>
      <c r="BE32" s="1102">
        <v>36</v>
      </c>
      <c r="BF32" s="1102">
        <v>576</v>
      </c>
      <c r="BG32" s="1102" t="s">
        <v>128</v>
      </c>
      <c r="BH32" s="1102" t="s">
        <v>86</v>
      </c>
    </row>
    <row r="33" spans="1:60">
      <c r="A33" s="1102" t="s">
        <v>271</v>
      </c>
      <c r="B33" s="1102" t="s">
        <v>111</v>
      </c>
      <c r="C33" s="1102" t="s">
        <v>112</v>
      </c>
      <c r="D33" s="1102" t="s">
        <v>113</v>
      </c>
      <c r="E33" s="1102" t="s">
        <v>64</v>
      </c>
      <c r="F33" s="1102" t="s">
        <v>114</v>
      </c>
      <c r="G33" s="1102" t="s">
        <v>66</v>
      </c>
      <c r="H33" s="1102" t="s">
        <v>115</v>
      </c>
      <c r="I33" s="1102" t="s">
        <v>68</v>
      </c>
      <c r="J33" s="1102" t="s">
        <v>116</v>
      </c>
      <c r="K33" s="1102" t="s">
        <v>117</v>
      </c>
      <c r="M33" s="1102" t="s">
        <v>68</v>
      </c>
      <c r="N33" s="1102" t="s">
        <v>68</v>
      </c>
      <c r="O33" s="1102" t="s">
        <v>70</v>
      </c>
      <c r="P33" s="1102" t="s">
        <v>118</v>
      </c>
      <c r="Q33" s="1102" t="s">
        <v>119</v>
      </c>
      <c r="R33" s="1102" t="s">
        <v>73</v>
      </c>
      <c r="S33" s="1102" t="s">
        <v>120</v>
      </c>
      <c r="T33" s="1102">
        <v>640</v>
      </c>
      <c r="U33" s="1102">
        <v>2124</v>
      </c>
      <c r="V33" s="1102">
        <v>1.359</v>
      </c>
      <c r="W33" s="1102">
        <v>59</v>
      </c>
      <c r="X33" s="1102">
        <v>3.7</v>
      </c>
      <c r="Y33" s="1102" t="s">
        <v>75</v>
      </c>
      <c r="Z33" s="1102" t="s">
        <v>75</v>
      </c>
      <c r="AB33" s="1103">
        <v>46029</v>
      </c>
      <c r="AC33" s="1102">
        <v>2</v>
      </c>
      <c r="AD33" s="1102" t="s">
        <v>272</v>
      </c>
      <c r="AF33" s="1102" t="s">
        <v>122</v>
      </c>
      <c r="AG33" s="1102" t="s">
        <v>123</v>
      </c>
      <c r="AH33" s="1102" t="s">
        <v>124</v>
      </c>
      <c r="AI33" s="1103">
        <v>46035</v>
      </c>
      <c r="AJ33" s="1103">
        <v>46041</v>
      </c>
      <c r="AK33" s="1103">
        <v>46041</v>
      </c>
      <c r="AL33" s="1103">
        <v>46079</v>
      </c>
      <c r="AM33" s="1103">
        <v>46079</v>
      </c>
      <c r="AN33" s="1103">
        <v>46079</v>
      </c>
      <c r="AO33" s="1102" t="s">
        <v>66</v>
      </c>
      <c r="AP33" s="1102" t="s">
        <v>273</v>
      </c>
      <c r="AQ33" s="1102" t="s">
        <v>80</v>
      </c>
      <c r="AR33" s="1102" t="s">
        <v>274</v>
      </c>
      <c r="AS33" s="1102" t="s">
        <v>275</v>
      </c>
      <c r="AT33" s="1102" t="s">
        <v>275</v>
      </c>
      <c r="AU33" s="1102">
        <v>38</v>
      </c>
      <c r="AW33" s="1103">
        <v>46079</v>
      </c>
      <c r="AX33" s="1102" t="s">
        <v>84</v>
      </c>
      <c r="AY33" s="1103">
        <v>46093</v>
      </c>
      <c r="AZ33" s="1102">
        <v>9</v>
      </c>
      <c r="BA33" s="1103">
        <v>46088</v>
      </c>
      <c r="BB33" s="1102">
        <v>2026</v>
      </c>
      <c r="BC33" s="1102">
        <v>3</v>
      </c>
      <c r="BD33" s="1102">
        <v>10</v>
      </c>
      <c r="BE33" s="1102">
        <v>36</v>
      </c>
      <c r="BF33" s="1102">
        <v>576</v>
      </c>
      <c r="BG33" s="1102" t="s">
        <v>128</v>
      </c>
      <c r="BH33" s="1102" t="s">
        <v>86</v>
      </c>
    </row>
    <row r="34" spans="1:60">
      <c r="A34" s="1102" t="s">
        <v>276</v>
      </c>
      <c r="B34" s="1102" t="s">
        <v>111</v>
      </c>
      <c r="C34" s="1102" t="s">
        <v>112</v>
      </c>
      <c r="D34" s="1102" t="s">
        <v>113</v>
      </c>
      <c r="E34" s="1102" t="s">
        <v>64</v>
      </c>
      <c r="F34" s="1102" t="s">
        <v>114</v>
      </c>
      <c r="G34" s="1102" t="s">
        <v>66</v>
      </c>
      <c r="H34" s="1102" t="s">
        <v>115</v>
      </c>
      <c r="I34" s="1102" t="s">
        <v>68</v>
      </c>
      <c r="J34" s="1102" t="s">
        <v>116</v>
      </c>
      <c r="K34" s="1102" t="s">
        <v>266</v>
      </c>
      <c r="M34" s="1102" t="s">
        <v>68</v>
      </c>
      <c r="N34" s="1102" t="s">
        <v>68</v>
      </c>
      <c r="O34" s="1102" t="s">
        <v>70</v>
      </c>
      <c r="P34" s="1102" t="s">
        <v>118</v>
      </c>
      <c r="Q34" s="1102" t="s">
        <v>119</v>
      </c>
      <c r="R34" s="1102" t="s">
        <v>73</v>
      </c>
      <c r="S34" s="1102" t="s">
        <v>120</v>
      </c>
      <c r="T34" s="1102">
        <v>640</v>
      </c>
      <c r="U34" s="1102">
        <v>180</v>
      </c>
      <c r="V34" s="1102">
        <v>0.115</v>
      </c>
      <c r="W34" s="1102">
        <v>5</v>
      </c>
      <c r="X34" s="1102">
        <v>0.3</v>
      </c>
      <c r="Y34" s="1102" t="s">
        <v>75</v>
      </c>
      <c r="Z34" s="1102" t="s">
        <v>75</v>
      </c>
      <c r="AB34" s="1103">
        <v>46029</v>
      </c>
      <c r="AC34" s="1102">
        <v>2</v>
      </c>
      <c r="AD34" s="1102" t="s">
        <v>277</v>
      </c>
      <c r="AF34" s="1102" t="s">
        <v>122</v>
      </c>
      <c r="AG34" s="1102" t="s">
        <v>123</v>
      </c>
      <c r="AH34" s="1102" t="s">
        <v>124</v>
      </c>
      <c r="AI34" s="1103">
        <v>46035</v>
      </c>
      <c r="AJ34" s="1103">
        <v>46041</v>
      </c>
      <c r="AK34" s="1103">
        <v>46041</v>
      </c>
      <c r="AL34" s="1103">
        <v>46079</v>
      </c>
      <c r="AM34" s="1103">
        <v>46079</v>
      </c>
      <c r="AN34" s="1103">
        <v>46079</v>
      </c>
      <c r="AO34" s="1102" t="s">
        <v>66</v>
      </c>
      <c r="AP34" s="1102" t="s">
        <v>273</v>
      </c>
      <c r="AQ34" s="1102" t="s">
        <v>80</v>
      </c>
      <c r="AR34" s="1102" t="s">
        <v>274</v>
      </c>
      <c r="AS34" s="1102" t="s">
        <v>275</v>
      </c>
      <c r="AT34" s="1102" t="s">
        <v>275</v>
      </c>
      <c r="AU34" s="1102">
        <v>38</v>
      </c>
      <c r="AW34" s="1103">
        <v>46079</v>
      </c>
      <c r="AX34" s="1102" t="s">
        <v>84</v>
      </c>
      <c r="AY34" s="1103">
        <v>46093</v>
      </c>
      <c r="AZ34" s="1102">
        <v>9</v>
      </c>
      <c r="BA34" s="1103">
        <v>46088</v>
      </c>
      <c r="BB34" s="1102">
        <v>2026</v>
      </c>
      <c r="BC34" s="1102">
        <v>3</v>
      </c>
      <c r="BD34" s="1102">
        <v>10</v>
      </c>
      <c r="BE34" s="1102">
        <v>36</v>
      </c>
      <c r="BF34" s="1102">
        <v>576</v>
      </c>
      <c r="BG34" s="1102" t="s">
        <v>128</v>
      </c>
      <c r="BH34" s="1102" t="s">
        <v>86</v>
      </c>
    </row>
    <row r="35" spans="1:60">
      <c r="A35" s="1102" t="s">
        <v>278</v>
      </c>
      <c r="B35" s="1102" t="s">
        <v>111</v>
      </c>
      <c r="C35" s="1102" t="s">
        <v>112</v>
      </c>
      <c r="D35" s="1102" t="s">
        <v>113</v>
      </c>
      <c r="E35" s="1102" t="s">
        <v>64</v>
      </c>
      <c r="F35" s="1102" t="s">
        <v>114</v>
      </c>
      <c r="G35" s="1102" t="s">
        <v>66</v>
      </c>
      <c r="H35" s="1102" t="s">
        <v>115</v>
      </c>
      <c r="I35" s="1102" t="s">
        <v>68</v>
      </c>
      <c r="J35" s="1102" t="s">
        <v>116</v>
      </c>
      <c r="K35" s="1102" t="s">
        <v>266</v>
      </c>
      <c r="M35" s="1102" t="s">
        <v>68</v>
      </c>
      <c r="N35" s="1102" t="s">
        <v>68</v>
      </c>
      <c r="O35" s="1102" t="s">
        <v>70</v>
      </c>
      <c r="P35" s="1102" t="s">
        <v>118</v>
      </c>
      <c r="Q35" s="1102" t="s">
        <v>119</v>
      </c>
      <c r="R35" s="1102" t="s">
        <v>73</v>
      </c>
      <c r="S35" s="1102" t="s">
        <v>120</v>
      </c>
      <c r="T35" s="1102">
        <v>640</v>
      </c>
      <c r="U35" s="1102">
        <v>1152</v>
      </c>
      <c r="V35" s="1102">
        <v>0.73699999999999999</v>
      </c>
      <c r="W35" s="1102">
        <v>32</v>
      </c>
      <c r="X35" s="1102">
        <v>2</v>
      </c>
      <c r="Y35" s="1102" t="s">
        <v>75</v>
      </c>
      <c r="Z35" s="1102" t="s">
        <v>75</v>
      </c>
      <c r="AB35" s="1103">
        <v>46029</v>
      </c>
      <c r="AC35" s="1102">
        <v>2</v>
      </c>
      <c r="AD35" s="1102" t="s">
        <v>279</v>
      </c>
      <c r="AF35" s="1102" t="s">
        <v>122</v>
      </c>
      <c r="AG35" s="1102" t="s">
        <v>123</v>
      </c>
      <c r="AH35" s="1102" t="s">
        <v>124</v>
      </c>
      <c r="AI35" s="1103">
        <v>46035</v>
      </c>
      <c r="AJ35" s="1103">
        <v>46041</v>
      </c>
      <c r="AK35" s="1103">
        <v>46041</v>
      </c>
      <c r="AL35" s="1103">
        <v>46079</v>
      </c>
      <c r="AM35" s="1103">
        <v>46079</v>
      </c>
      <c r="AN35" s="1103">
        <v>46079</v>
      </c>
      <c r="AO35" s="1102" t="s">
        <v>66</v>
      </c>
      <c r="AP35" s="1102" t="s">
        <v>273</v>
      </c>
      <c r="AQ35" s="1102" t="s">
        <v>80</v>
      </c>
      <c r="AR35" s="1102" t="s">
        <v>274</v>
      </c>
      <c r="AS35" s="1102" t="s">
        <v>275</v>
      </c>
      <c r="AT35" s="1102" t="s">
        <v>275</v>
      </c>
      <c r="AU35" s="1102">
        <v>38</v>
      </c>
      <c r="AW35" s="1103">
        <v>46079</v>
      </c>
      <c r="AX35" s="1102" t="s">
        <v>84</v>
      </c>
      <c r="AY35" s="1103">
        <v>46093</v>
      </c>
      <c r="AZ35" s="1102">
        <v>9</v>
      </c>
      <c r="BA35" s="1103">
        <v>46088</v>
      </c>
      <c r="BB35" s="1102">
        <v>2026</v>
      </c>
      <c r="BC35" s="1102">
        <v>3</v>
      </c>
      <c r="BD35" s="1102">
        <v>10</v>
      </c>
      <c r="BE35" s="1102">
        <v>36</v>
      </c>
      <c r="BF35" s="1102">
        <v>576</v>
      </c>
      <c r="BG35" s="1102" t="s">
        <v>128</v>
      </c>
      <c r="BH35" s="1102" t="s">
        <v>86</v>
      </c>
    </row>
    <row r="36" spans="1:60">
      <c r="A36" s="1102" t="s">
        <v>280</v>
      </c>
      <c r="B36" s="1102" t="s">
        <v>281</v>
      </c>
      <c r="C36" s="1102" t="s">
        <v>282</v>
      </c>
      <c r="D36" s="1102" t="s">
        <v>63</v>
      </c>
      <c r="E36" s="1102" t="s">
        <v>64</v>
      </c>
      <c r="F36" s="1102" t="s">
        <v>100</v>
      </c>
      <c r="G36" s="1102" t="s">
        <v>66</v>
      </c>
      <c r="H36" s="1102" t="s">
        <v>67</v>
      </c>
      <c r="I36" s="1102" t="s">
        <v>68</v>
      </c>
      <c r="J36" s="1102" t="s">
        <v>283</v>
      </c>
      <c r="M36" s="1102" t="s">
        <v>68</v>
      </c>
      <c r="N36" s="1102" t="s">
        <v>68</v>
      </c>
      <c r="O36" s="1102" t="s">
        <v>284</v>
      </c>
      <c r="P36" s="1102" t="s">
        <v>285</v>
      </c>
      <c r="Q36" s="1102" t="s">
        <v>286</v>
      </c>
      <c r="R36" s="1102" t="s">
        <v>73</v>
      </c>
      <c r="S36" s="1102" t="s">
        <v>120</v>
      </c>
      <c r="T36" s="1102">
        <v>460</v>
      </c>
      <c r="U36" s="1102">
        <v>962</v>
      </c>
      <c r="V36" s="1102">
        <v>0.443</v>
      </c>
      <c r="W36" s="1102">
        <v>26</v>
      </c>
      <c r="X36" s="1102">
        <v>1</v>
      </c>
      <c r="Y36" s="1102" t="s">
        <v>75</v>
      </c>
      <c r="Z36" s="1102" t="s">
        <v>75</v>
      </c>
      <c r="AB36" s="1103">
        <v>46030</v>
      </c>
      <c r="AC36" s="1102">
        <v>2</v>
      </c>
      <c r="AD36" s="1102" t="s">
        <v>287</v>
      </c>
      <c r="AF36" s="1102" t="s">
        <v>288</v>
      </c>
      <c r="AG36" s="1102" t="s">
        <v>289</v>
      </c>
      <c r="AH36" s="1102" t="s">
        <v>105</v>
      </c>
      <c r="AI36" s="1103">
        <v>46038</v>
      </c>
      <c r="AJ36" s="1103">
        <v>46041</v>
      </c>
      <c r="AK36" s="1103">
        <v>46041</v>
      </c>
      <c r="AL36" s="1103">
        <v>46069</v>
      </c>
      <c r="AM36" s="1103">
        <v>46087</v>
      </c>
      <c r="AN36" s="1103">
        <v>46087</v>
      </c>
      <c r="AO36" s="1102" t="s">
        <v>66</v>
      </c>
      <c r="AP36" s="1102" t="s">
        <v>211</v>
      </c>
      <c r="AQ36" s="1102" t="s">
        <v>80</v>
      </c>
      <c r="AR36" s="1102" t="s">
        <v>290</v>
      </c>
      <c r="AS36" s="1102" t="s">
        <v>291</v>
      </c>
      <c r="AT36" s="1102" t="s">
        <v>291</v>
      </c>
      <c r="AU36" s="1102">
        <v>46</v>
      </c>
      <c r="AV36" s="1102" t="s">
        <v>83</v>
      </c>
      <c r="AW36" s="1103">
        <v>46087</v>
      </c>
      <c r="AX36" s="1102" t="s">
        <v>84</v>
      </c>
      <c r="AY36" s="1103">
        <v>46094</v>
      </c>
      <c r="AZ36" s="1102">
        <v>7</v>
      </c>
      <c r="BA36" s="1103">
        <v>46094</v>
      </c>
      <c r="BB36" s="1102">
        <v>2026</v>
      </c>
      <c r="BC36" s="1102">
        <v>3</v>
      </c>
      <c r="BD36" s="1102">
        <v>11</v>
      </c>
      <c r="BE36" s="1102">
        <v>37</v>
      </c>
      <c r="BF36" s="1102">
        <v>962</v>
      </c>
      <c r="BG36" s="1102" t="s">
        <v>85</v>
      </c>
      <c r="BH36" s="1102" t="s">
        <v>109</v>
      </c>
    </row>
    <row r="37" spans="1:60">
      <c r="A37" s="1102" t="s">
        <v>292</v>
      </c>
      <c r="B37" s="1102" t="s">
        <v>281</v>
      </c>
      <c r="C37" s="1102" t="s">
        <v>282</v>
      </c>
      <c r="D37" s="1102" t="s">
        <v>63</v>
      </c>
      <c r="E37" s="1102" t="s">
        <v>64</v>
      </c>
      <c r="F37" s="1102" t="s">
        <v>100</v>
      </c>
      <c r="G37" s="1102" t="s">
        <v>66</v>
      </c>
      <c r="H37" s="1102" t="s">
        <v>67</v>
      </c>
      <c r="I37" s="1102" t="s">
        <v>68</v>
      </c>
      <c r="J37" s="1102" t="s">
        <v>293</v>
      </c>
      <c r="M37" s="1102" t="s">
        <v>68</v>
      </c>
      <c r="N37" s="1102" t="s">
        <v>68</v>
      </c>
      <c r="O37" s="1102" t="s">
        <v>284</v>
      </c>
      <c r="P37" s="1102" t="s">
        <v>285</v>
      </c>
      <c r="Q37" s="1102" t="s">
        <v>286</v>
      </c>
      <c r="R37" s="1102" t="s">
        <v>73</v>
      </c>
      <c r="S37" s="1102" t="s">
        <v>120</v>
      </c>
      <c r="T37" s="1102">
        <v>460</v>
      </c>
      <c r="U37" s="1102">
        <v>4810</v>
      </c>
      <c r="V37" s="1102">
        <v>2.2130000000000001</v>
      </c>
      <c r="W37" s="1102">
        <v>130</v>
      </c>
      <c r="X37" s="1102">
        <v>5</v>
      </c>
      <c r="Y37" s="1102" t="s">
        <v>75</v>
      </c>
      <c r="Z37" s="1102" t="s">
        <v>75</v>
      </c>
      <c r="AB37" s="1103">
        <v>46030</v>
      </c>
      <c r="AC37" s="1102">
        <v>2</v>
      </c>
      <c r="AD37" s="1102" t="s">
        <v>294</v>
      </c>
      <c r="AF37" s="1102" t="s">
        <v>288</v>
      </c>
      <c r="AG37" s="1102" t="s">
        <v>289</v>
      </c>
      <c r="AH37" s="1102" t="s">
        <v>105</v>
      </c>
      <c r="AI37" s="1103">
        <v>46038</v>
      </c>
      <c r="AJ37" s="1103">
        <v>46041</v>
      </c>
      <c r="AK37" s="1103">
        <v>46041</v>
      </c>
      <c r="AL37" s="1103">
        <v>46069</v>
      </c>
      <c r="AM37" s="1103">
        <v>46087</v>
      </c>
      <c r="AN37" s="1103">
        <v>46087</v>
      </c>
      <c r="AO37" s="1102" t="s">
        <v>66</v>
      </c>
      <c r="AP37" s="1102" t="s">
        <v>211</v>
      </c>
      <c r="AQ37" s="1102" t="s">
        <v>80</v>
      </c>
      <c r="AR37" s="1102" t="s">
        <v>290</v>
      </c>
      <c r="AS37" s="1102" t="s">
        <v>291</v>
      </c>
      <c r="AT37" s="1102" t="s">
        <v>291</v>
      </c>
      <c r="AU37" s="1102">
        <v>46</v>
      </c>
      <c r="AV37" s="1102" t="s">
        <v>83</v>
      </c>
      <c r="AW37" s="1103">
        <v>46087</v>
      </c>
      <c r="AX37" s="1102" t="s">
        <v>84</v>
      </c>
      <c r="AY37" s="1103">
        <v>46094</v>
      </c>
      <c r="AZ37" s="1102">
        <v>7</v>
      </c>
      <c r="BA37" s="1103">
        <v>46094</v>
      </c>
      <c r="BB37" s="1102">
        <v>2026</v>
      </c>
      <c r="BC37" s="1102">
        <v>3</v>
      </c>
      <c r="BD37" s="1102">
        <v>11</v>
      </c>
      <c r="BE37" s="1102">
        <v>37</v>
      </c>
      <c r="BF37" s="1102">
        <v>962</v>
      </c>
      <c r="BG37" s="1102" t="s">
        <v>85</v>
      </c>
      <c r="BH37" s="1102" t="s">
        <v>109</v>
      </c>
    </row>
    <row r="38" spans="1:60">
      <c r="A38" s="1102" t="s">
        <v>295</v>
      </c>
      <c r="B38" s="1102" t="s">
        <v>296</v>
      </c>
      <c r="C38" s="1102" t="s">
        <v>297</v>
      </c>
      <c r="D38" s="1102" t="s">
        <v>63</v>
      </c>
      <c r="E38" s="1102" t="s">
        <v>64</v>
      </c>
      <c r="F38" s="1102" t="s">
        <v>100</v>
      </c>
      <c r="G38" s="1102" t="s">
        <v>66</v>
      </c>
      <c r="H38" s="1102" t="s">
        <v>67</v>
      </c>
      <c r="I38" s="1102" t="s">
        <v>68</v>
      </c>
      <c r="J38" s="1102" t="s">
        <v>96</v>
      </c>
      <c r="M38" s="1102" t="s">
        <v>68</v>
      </c>
      <c r="N38" s="1102" t="s">
        <v>68</v>
      </c>
      <c r="O38" s="1102" t="s">
        <v>298</v>
      </c>
      <c r="P38" s="1102" t="s">
        <v>299</v>
      </c>
      <c r="Q38" s="1102" t="s">
        <v>300</v>
      </c>
      <c r="R38" s="1102" t="s">
        <v>73</v>
      </c>
      <c r="S38" s="1102" t="s">
        <v>74</v>
      </c>
      <c r="T38" s="1102">
        <v>480</v>
      </c>
      <c r="U38" s="1102">
        <v>1924</v>
      </c>
      <c r="V38" s="1102">
        <v>0.92400000000000004</v>
      </c>
      <c r="W38" s="1102">
        <v>52</v>
      </c>
      <c r="X38" s="1102">
        <v>2</v>
      </c>
      <c r="Y38" s="1102" t="s">
        <v>75</v>
      </c>
      <c r="Z38" s="1102" t="s">
        <v>75</v>
      </c>
      <c r="AB38" s="1103">
        <v>46031</v>
      </c>
      <c r="AC38" s="1102">
        <v>2</v>
      </c>
      <c r="AD38" s="1102" t="s">
        <v>301</v>
      </c>
      <c r="AF38" s="1102" t="s">
        <v>288</v>
      </c>
      <c r="AG38" s="1102" t="s">
        <v>289</v>
      </c>
      <c r="AH38" s="1102" t="s">
        <v>105</v>
      </c>
      <c r="AI38" s="1103">
        <v>46038</v>
      </c>
      <c r="AJ38" s="1103">
        <v>46041</v>
      </c>
      <c r="AK38" s="1103">
        <v>46041</v>
      </c>
      <c r="AL38" s="1103">
        <v>46069</v>
      </c>
      <c r="AM38" s="1103">
        <v>46087</v>
      </c>
      <c r="AN38" s="1103">
        <v>46087</v>
      </c>
      <c r="AO38" s="1102" t="s">
        <v>66</v>
      </c>
      <c r="AP38" s="1102" t="s">
        <v>211</v>
      </c>
      <c r="AQ38" s="1102" t="s">
        <v>80</v>
      </c>
      <c r="AR38" s="1102" t="s">
        <v>302</v>
      </c>
      <c r="AS38" s="1102" t="s">
        <v>303</v>
      </c>
      <c r="AT38" s="1102" t="s">
        <v>303</v>
      </c>
      <c r="AU38" s="1102">
        <v>46</v>
      </c>
      <c r="AV38" s="1102" t="s">
        <v>83</v>
      </c>
      <c r="AW38" s="1103">
        <v>46087</v>
      </c>
      <c r="AX38" s="1102" t="s">
        <v>84</v>
      </c>
      <c r="AY38" s="1103">
        <v>46101</v>
      </c>
      <c r="AZ38" s="1102">
        <v>7</v>
      </c>
      <c r="BA38" s="1103">
        <v>46094</v>
      </c>
      <c r="BB38" s="1102">
        <v>2026</v>
      </c>
      <c r="BC38" s="1102">
        <v>3</v>
      </c>
      <c r="BD38" s="1102">
        <v>11</v>
      </c>
      <c r="BE38" s="1102">
        <v>37</v>
      </c>
      <c r="BF38" s="1102">
        <v>962</v>
      </c>
      <c r="BG38" s="1102" t="s">
        <v>85</v>
      </c>
      <c r="BH38" s="1102" t="s">
        <v>109</v>
      </c>
    </row>
    <row r="39" spans="1:60">
      <c r="A39" s="1102" t="s">
        <v>304</v>
      </c>
      <c r="B39" s="1102" t="s">
        <v>296</v>
      </c>
      <c r="C39" s="1102" t="s">
        <v>305</v>
      </c>
      <c r="D39" s="1102" t="s">
        <v>63</v>
      </c>
      <c r="E39" s="1102" t="s">
        <v>64</v>
      </c>
      <c r="F39" s="1102" t="s">
        <v>100</v>
      </c>
      <c r="G39" s="1102" t="s">
        <v>66</v>
      </c>
      <c r="H39" s="1102" t="s">
        <v>67</v>
      </c>
      <c r="I39" s="1102" t="s">
        <v>68</v>
      </c>
      <c r="J39" s="1102" t="s">
        <v>96</v>
      </c>
      <c r="M39" s="1102" t="s">
        <v>68</v>
      </c>
      <c r="N39" s="1102" t="s">
        <v>68</v>
      </c>
      <c r="O39" s="1102" t="s">
        <v>298</v>
      </c>
      <c r="P39" s="1102" t="s">
        <v>306</v>
      </c>
      <c r="Q39" s="1102" t="s">
        <v>307</v>
      </c>
      <c r="R39" s="1102" t="s">
        <v>73</v>
      </c>
      <c r="S39" s="1102" t="s">
        <v>74</v>
      </c>
      <c r="T39" s="1102">
        <v>485</v>
      </c>
      <c r="U39" s="1102">
        <v>2886</v>
      </c>
      <c r="V39" s="1102">
        <v>1.4</v>
      </c>
      <c r="W39" s="1102">
        <v>78</v>
      </c>
      <c r="X39" s="1102">
        <v>3</v>
      </c>
      <c r="Y39" s="1102" t="s">
        <v>75</v>
      </c>
      <c r="Z39" s="1102" t="s">
        <v>75</v>
      </c>
      <c r="AB39" s="1103">
        <v>46031</v>
      </c>
      <c r="AC39" s="1102">
        <v>2</v>
      </c>
      <c r="AD39" s="1102" t="s">
        <v>308</v>
      </c>
      <c r="AF39" s="1102" t="s">
        <v>288</v>
      </c>
      <c r="AG39" s="1102" t="s">
        <v>289</v>
      </c>
      <c r="AH39" s="1102" t="s">
        <v>105</v>
      </c>
      <c r="AI39" s="1103">
        <v>46038</v>
      </c>
      <c r="AJ39" s="1103">
        <v>46041</v>
      </c>
      <c r="AK39" s="1103">
        <v>46041</v>
      </c>
      <c r="AL39" s="1103">
        <v>46069</v>
      </c>
      <c r="AM39" s="1103">
        <v>46087</v>
      </c>
      <c r="AN39" s="1103">
        <v>46087</v>
      </c>
      <c r="AO39" s="1102" t="s">
        <v>66</v>
      </c>
      <c r="AP39" s="1102" t="s">
        <v>211</v>
      </c>
      <c r="AQ39" s="1102" t="s">
        <v>80</v>
      </c>
      <c r="AR39" s="1102" t="s">
        <v>302</v>
      </c>
      <c r="AS39" s="1102" t="s">
        <v>303</v>
      </c>
      <c r="AT39" s="1102" t="s">
        <v>303</v>
      </c>
      <c r="AU39" s="1102">
        <v>46</v>
      </c>
      <c r="AV39" s="1102" t="s">
        <v>83</v>
      </c>
      <c r="AW39" s="1103">
        <v>46087</v>
      </c>
      <c r="AX39" s="1102" t="s">
        <v>84</v>
      </c>
      <c r="AY39" s="1103">
        <v>46101</v>
      </c>
      <c r="AZ39" s="1102">
        <v>7</v>
      </c>
      <c r="BA39" s="1103">
        <v>46094</v>
      </c>
      <c r="BB39" s="1102">
        <v>2026</v>
      </c>
      <c r="BC39" s="1102">
        <v>3</v>
      </c>
      <c r="BD39" s="1102">
        <v>11</v>
      </c>
      <c r="BE39" s="1102">
        <v>37</v>
      </c>
      <c r="BF39" s="1102">
        <v>962</v>
      </c>
      <c r="BG39" s="1102" t="s">
        <v>85</v>
      </c>
      <c r="BH39" s="1102" t="s">
        <v>109</v>
      </c>
    </row>
    <row r="40" spans="1:60">
      <c r="A40" s="1102" t="s">
        <v>309</v>
      </c>
      <c r="B40" s="1102" t="s">
        <v>296</v>
      </c>
      <c r="C40" s="1102" t="s">
        <v>297</v>
      </c>
      <c r="D40" s="1102" t="s">
        <v>63</v>
      </c>
      <c r="E40" s="1102" t="s">
        <v>64</v>
      </c>
      <c r="F40" s="1102" t="s">
        <v>310</v>
      </c>
      <c r="G40" s="1102" t="s">
        <v>66</v>
      </c>
      <c r="H40" s="1102" t="s">
        <v>311</v>
      </c>
      <c r="I40" s="1102" t="s">
        <v>68</v>
      </c>
      <c r="J40" s="1102" t="s">
        <v>312</v>
      </c>
      <c r="M40" s="1102" t="s">
        <v>68</v>
      </c>
      <c r="N40" s="1102" t="s">
        <v>68</v>
      </c>
      <c r="O40" s="1102" t="s">
        <v>298</v>
      </c>
      <c r="P40" s="1102" t="s">
        <v>299</v>
      </c>
      <c r="Q40" s="1102" t="s">
        <v>300</v>
      </c>
      <c r="R40" s="1102" t="s">
        <v>73</v>
      </c>
      <c r="S40" s="1102" t="s">
        <v>74</v>
      </c>
      <c r="T40" s="1102">
        <v>480</v>
      </c>
      <c r="U40" s="1102">
        <v>1924</v>
      </c>
      <c r="V40" s="1102">
        <v>0.92400000000000004</v>
      </c>
      <c r="W40" s="1102">
        <v>52</v>
      </c>
      <c r="X40" s="1102">
        <v>2</v>
      </c>
      <c r="Y40" s="1102" t="s">
        <v>75</v>
      </c>
      <c r="Z40" s="1102" t="s">
        <v>75</v>
      </c>
      <c r="AB40" s="1103">
        <v>46034</v>
      </c>
      <c r="AC40" s="1102">
        <v>3</v>
      </c>
      <c r="AD40" s="1102" t="s">
        <v>313</v>
      </c>
      <c r="AF40" s="1102" t="s">
        <v>288</v>
      </c>
      <c r="AG40" s="1102" t="s">
        <v>289</v>
      </c>
      <c r="AH40" s="1102" t="s">
        <v>314</v>
      </c>
      <c r="AI40" s="1103">
        <v>46037</v>
      </c>
      <c r="AJ40" s="1103">
        <v>46037</v>
      </c>
      <c r="AK40" s="1103">
        <v>46038</v>
      </c>
      <c r="AL40" s="1103">
        <v>46078</v>
      </c>
      <c r="AM40" s="1103">
        <v>46078</v>
      </c>
      <c r="AN40" s="1103">
        <v>46078</v>
      </c>
      <c r="AO40" s="1102" t="s">
        <v>66</v>
      </c>
      <c r="AP40" s="1102" t="s">
        <v>247</v>
      </c>
      <c r="AQ40" s="1102" t="s">
        <v>80</v>
      </c>
      <c r="AR40" s="1102" t="s">
        <v>315</v>
      </c>
      <c r="AS40" s="1102" t="s">
        <v>316</v>
      </c>
      <c r="AT40" s="1102" t="s">
        <v>316</v>
      </c>
      <c r="AU40" s="1102">
        <v>40</v>
      </c>
      <c r="AV40" s="1102" t="s">
        <v>83</v>
      </c>
      <c r="AW40" s="1103">
        <v>46078</v>
      </c>
      <c r="AX40" s="1102" t="s">
        <v>84</v>
      </c>
      <c r="AY40" s="1103">
        <v>46092</v>
      </c>
      <c r="AZ40" s="1102">
        <v>13</v>
      </c>
      <c r="BA40" s="1103">
        <v>46091</v>
      </c>
      <c r="BB40" s="1102">
        <v>2026</v>
      </c>
      <c r="BC40" s="1102">
        <v>3</v>
      </c>
      <c r="BD40" s="1102">
        <v>11</v>
      </c>
      <c r="BE40" s="1102">
        <v>37</v>
      </c>
      <c r="BF40" s="1102">
        <v>962</v>
      </c>
      <c r="BG40" s="1102" t="s">
        <v>85</v>
      </c>
      <c r="BH40" s="1102" t="s">
        <v>86</v>
      </c>
    </row>
    <row r="41" spans="1:60">
      <c r="A41" s="1102" t="s">
        <v>317</v>
      </c>
      <c r="B41" s="1102" t="s">
        <v>296</v>
      </c>
      <c r="C41" s="1102" t="s">
        <v>305</v>
      </c>
      <c r="D41" s="1102" t="s">
        <v>63</v>
      </c>
      <c r="E41" s="1102" t="s">
        <v>64</v>
      </c>
      <c r="F41" s="1102" t="s">
        <v>310</v>
      </c>
      <c r="G41" s="1102" t="s">
        <v>66</v>
      </c>
      <c r="H41" s="1102" t="s">
        <v>311</v>
      </c>
      <c r="I41" s="1102" t="s">
        <v>68</v>
      </c>
      <c r="J41" s="1102" t="s">
        <v>312</v>
      </c>
      <c r="M41" s="1102" t="s">
        <v>68</v>
      </c>
      <c r="N41" s="1102" t="s">
        <v>68</v>
      </c>
      <c r="O41" s="1102" t="s">
        <v>298</v>
      </c>
      <c r="P41" s="1102" t="s">
        <v>306</v>
      </c>
      <c r="Q41" s="1102" t="s">
        <v>307</v>
      </c>
      <c r="R41" s="1102" t="s">
        <v>73</v>
      </c>
      <c r="S41" s="1102" t="s">
        <v>74</v>
      </c>
      <c r="T41" s="1102">
        <v>485</v>
      </c>
      <c r="U41" s="1102">
        <v>1924</v>
      </c>
      <c r="V41" s="1102">
        <v>0.93300000000000005</v>
      </c>
      <c r="W41" s="1102">
        <v>52</v>
      </c>
      <c r="X41" s="1102">
        <v>2</v>
      </c>
      <c r="Y41" s="1102" t="s">
        <v>75</v>
      </c>
      <c r="Z41" s="1102" t="s">
        <v>75</v>
      </c>
      <c r="AB41" s="1103">
        <v>46034</v>
      </c>
      <c r="AC41" s="1102">
        <v>3</v>
      </c>
      <c r="AD41" s="1102" t="s">
        <v>318</v>
      </c>
      <c r="AF41" s="1102" t="s">
        <v>288</v>
      </c>
      <c r="AG41" s="1102" t="s">
        <v>289</v>
      </c>
      <c r="AH41" s="1102" t="s">
        <v>314</v>
      </c>
      <c r="AI41" s="1103">
        <v>46037</v>
      </c>
      <c r="AJ41" s="1103">
        <v>46037</v>
      </c>
      <c r="AK41" s="1103">
        <v>46038</v>
      </c>
      <c r="AL41" s="1103">
        <v>46078</v>
      </c>
      <c r="AM41" s="1103">
        <v>46078</v>
      </c>
      <c r="AN41" s="1103">
        <v>46078</v>
      </c>
      <c r="AO41" s="1102" t="s">
        <v>66</v>
      </c>
      <c r="AP41" s="1102" t="s">
        <v>247</v>
      </c>
      <c r="AQ41" s="1102" t="s">
        <v>80</v>
      </c>
      <c r="AR41" s="1102" t="s">
        <v>315</v>
      </c>
      <c r="AS41" s="1102" t="s">
        <v>316</v>
      </c>
      <c r="AT41" s="1102" t="s">
        <v>316</v>
      </c>
      <c r="AU41" s="1102">
        <v>40</v>
      </c>
      <c r="AV41" s="1102" t="s">
        <v>83</v>
      </c>
      <c r="AW41" s="1103">
        <v>46078</v>
      </c>
      <c r="AX41" s="1102" t="s">
        <v>84</v>
      </c>
      <c r="AY41" s="1103">
        <v>46092</v>
      </c>
      <c r="AZ41" s="1102">
        <v>13</v>
      </c>
      <c r="BA41" s="1103">
        <v>46091</v>
      </c>
      <c r="BB41" s="1102">
        <v>2026</v>
      </c>
      <c r="BC41" s="1102">
        <v>3</v>
      </c>
      <c r="BD41" s="1102">
        <v>11</v>
      </c>
      <c r="BE41" s="1102">
        <v>37</v>
      </c>
      <c r="BF41" s="1102">
        <v>962</v>
      </c>
      <c r="BG41" s="1102" t="s">
        <v>85</v>
      </c>
      <c r="BH41" s="1102" t="s">
        <v>86</v>
      </c>
    </row>
    <row r="42" spans="1:60">
      <c r="A42" s="1102" t="s">
        <v>319</v>
      </c>
      <c r="B42" s="1102" t="s">
        <v>296</v>
      </c>
      <c r="C42" s="1102" t="s">
        <v>305</v>
      </c>
      <c r="D42" s="1102" t="s">
        <v>63</v>
      </c>
      <c r="E42" s="1102" t="s">
        <v>64</v>
      </c>
      <c r="F42" s="1102" t="s">
        <v>100</v>
      </c>
      <c r="G42" s="1102" t="s">
        <v>66</v>
      </c>
      <c r="H42" s="1102" t="s">
        <v>67</v>
      </c>
      <c r="I42" s="1102" t="s">
        <v>68</v>
      </c>
      <c r="J42" s="1102" t="s">
        <v>169</v>
      </c>
      <c r="M42" s="1102" t="s">
        <v>68</v>
      </c>
      <c r="N42" s="1102" t="s">
        <v>68</v>
      </c>
      <c r="O42" s="1102" t="s">
        <v>298</v>
      </c>
      <c r="P42" s="1102" t="s">
        <v>306</v>
      </c>
      <c r="Q42" s="1102" t="s">
        <v>307</v>
      </c>
      <c r="R42" s="1102" t="s">
        <v>73</v>
      </c>
      <c r="S42" s="1102" t="s">
        <v>74</v>
      </c>
      <c r="T42" s="1102">
        <v>485</v>
      </c>
      <c r="U42" s="1102">
        <v>962</v>
      </c>
      <c r="V42" s="1102">
        <v>0.46700000000000003</v>
      </c>
      <c r="W42" s="1102">
        <v>26</v>
      </c>
      <c r="X42" s="1102">
        <v>1</v>
      </c>
      <c r="Y42" s="1102" t="s">
        <v>75</v>
      </c>
      <c r="Z42" s="1102" t="s">
        <v>75</v>
      </c>
      <c r="AB42" s="1103">
        <v>46031</v>
      </c>
      <c r="AC42" s="1102">
        <v>2</v>
      </c>
      <c r="AD42" s="1102" t="s">
        <v>320</v>
      </c>
      <c r="AF42" s="1102" t="s">
        <v>288</v>
      </c>
      <c r="AG42" s="1102" t="s">
        <v>289</v>
      </c>
      <c r="AH42" s="1102" t="s">
        <v>105</v>
      </c>
      <c r="AI42" s="1103">
        <v>46041</v>
      </c>
      <c r="AJ42" s="1103">
        <v>46042</v>
      </c>
      <c r="AK42" s="1103">
        <v>46042</v>
      </c>
      <c r="AL42" s="1103">
        <v>46090</v>
      </c>
      <c r="AM42" s="1103">
        <v>46111</v>
      </c>
      <c r="AN42" s="1103">
        <v>46111</v>
      </c>
      <c r="AO42" s="1102" t="s">
        <v>66</v>
      </c>
      <c r="AP42" s="1102" t="s">
        <v>241</v>
      </c>
      <c r="AQ42" s="1102" t="s">
        <v>80</v>
      </c>
      <c r="AR42" s="1102" t="s">
        <v>321</v>
      </c>
      <c r="AS42" s="1102" t="s">
        <v>322</v>
      </c>
      <c r="AT42" s="1102" t="s">
        <v>322</v>
      </c>
      <c r="AU42" s="1102">
        <v>69</v>
      </c>
      <c r="AW42" s="1103">
        <v>46111</v>
      </c>
      <c r="AX42" s="1102" t="s">
        <v>84</v>
      </c>
      <c r="AY42" s="1103">
        <v>46125</v>
      </c>
      <c r="AZ42" s="1102">
        <v>7</v>
      </c>
      <c r="BA42" s="1103">
        <v>46118</v>
      </c>
      <c r="BB42" s="1102">
        <v>2026</v>
      </c>
      <c r="BC42" s="1102">
        <v>4</v>
      </c>
      <c r="BD42" s="1102">
        <v>15</v>
      </c>
      <c r="BE42" s="1102">
        <v>37</v>
      </c>
      <c r="BF42" s="1102">
        <v>962</v>
      </c>
      <c r="BG42" s="1102" t="s">
        <v>85</v>
      </c>
      <c r="BH42" s="1102" t="s">
        <v>109</v>
      </c>
    </row>
    <row r="43" spans="1:60">
      <c r="A43" s="1102" t="s">
        <v>323</v>
      </c>
      <c r="B43" s="1102" t="s">
        <v>296</v>
      </c>
      <c r="C43" s="1102" t="s">
        <v>297</v>
      </c>
      <c r="D43" s="1102" t="s">
        <v>63</v>
      </c>
      <c r="E43" s="1102" t="s">
        <v>64</v>
      </c>
      <c r="F43" s="1102" t="s">
        <v>100</v>
      </c>
      <c r="G43" s="1102" t="s">
        <v>66</v>
      </c>
      <c r="H43" s="1102" t="s">
        <v>67</v>
      </c>
      <c r="I43" s="1102" t="s">
        <v>68</v>
      </c>
      <c r="J43" s="1102" t="s">
        <v>169</v>
      </c>
      <c r="M43" s="1102" t="s">
        <v>68</v>
      </c>
      <c r="N43" s="1102" t="s">
        <v>68</v>
      </c>
      <c r="O43" s="1102" t="s">
        <v>298</v>
      </c>
      <c r="P43" s="1102" t="s">
        <v>299</v>
      </c>
      <c r="Q43" s="1102" t="s">
        <v>300</v>
      </c>
      <c r="R43" s="1102" t="s">
        <v>73</v>
      </c>
      <c r="S43" s="1102" t="s">
        <v>74</v>
      </c>
      <c r="T43" s="1102">
        <v>480</v>
      </c>
      <c r="U43" s="1102">
        <v>962</v>
      </c>
      <c r="V43" s="1102">
        <v>0.46200000000000002</v>
      </c>
      <c r="W43" s="1102">
        <v>26</v>
      </c>
      <c r="X43" s="1102">
        <v>1</v>
      </c>
      <c r="Y43" s="1102" t="s">
        <v>75</v>
      </c>
      <c r="Z43" s="1102" t="s">
        <v>75</v>
      </c>
      <c r="AB43" s="1103">
        <v>46031</v>
      </c>
      <c r="AC43" s="1102">
        <v>2</v>
      </c>
      <c r="AD43" s="1102" t="s">
        <v>324</v>
      </c>
      <c r="AF43" s="1102" t="s">
        <v>288</v>
      </c>
      <c r="AG43" s="1102" t="s">
        <v>289</v>
      </c>
      <c r="AH43" s="1102" t="s">
        <v>105</v>
      </c>
      <c r="AI43" s="1103">
        <v>46041</v>
      </c>
      <c r="AJ43" s="1103">
        <v>46042</v>
      </c>
      <c r="AK43" s="1103">
        <v>46042</v>
      </c>
      <c r="AL43" s="1103">
        <v>46090</v>
      </c>
      <c r="AM43" s="1103">
        <v>46111</v>
      </c>
      <c r="AN43" s="1103">
        <v>46111</v>
      </c>
      <c r="AO43" s="1102" t="s">
        <v>66</v>
      </c>
      <c r="AP43" s="1102" t="s">
        <v>241</v>
      </c>
      <c r="AQ43" s="1102" t="s">
        <v>80</v>
      </c>
      <c r="AR43" s="1102" t="s">
        <v>321</v>
      </c>
      <c r="AS43" s="1102" t="s">
        <v>322</v>
      </c>
      <c r="AT43" s="1102" t="s">
        <v>322</v>
      </c>
      <c r="AU43" s="1102">
        <v>69</v>
      </c>
      <c r="AW43" s="1103">
        <v>46111</v>
      </c>
      <c r="AX43" s="1102" t="s">
        <v>84</v>
      </c>
      <c r="AY43" s="1103">
        <v>46125</v>
      </c>
      <c r="AZ43" s="1102">
        <v>7</v>
      </c>
      <c r="BA43" s="1103">
        <v>46118</v>
      </c>
      <c r="BB43" s="1102">
        <v>2026</v>
      </c>
      <c r="BC43" s="1102">
        <v>4</v>
      </c>
      <c r="BD43" s="1102">
        <v>15</v>
      </c>
      <c r="BE43" s="1102">
        <v>37</v>
      </c>
      <c r="BF43" s="1102">
        <v>962</v>
      </c>
      <c r="BG43" s="1102" t="s">
        <v>85</v>
      </c>
      <c r="BH43" s="1102" t="s">
        <v>109</v>
      </c>
    </row>
    <row r="44" spans="1:60">
      <c r="A44" s="1102" t="s">
        <v>325</v>
      </c>
      <c r="B44" s="1102" t="s">
        <v>61</v>
      </c>
      <c r="C44" s="1102" t="s">
        <v>326</v>
      </c>
      <c r="D44" s="1102" t="s">
        <v>113</v>
      </c>
      <c r="E44" s="1102" t="s">
        <v>64</v>
      </c>
      <c r="F44" s="1102" t="s">
        <v>100</v>
      </c>
      <c r="G44" s="1102" t="s">
        <v>66</v>
      </c>
      <c r="H44" s="1102" t="s">
        <v>67</v>
      </c>
      <c r="I44" s="1102" t="s">
        <v>68</v>
      </c>
      <c r="J44" s="1102" t="s">
        <v>327</v>
      </c>
      <c r="K44" s="1102" t="s">
        <v>328</v>
      </c>
      <c r="M44" s="1102" t="s">
        <v>68</v>
      </c>
      <c r="N44" s="1102" t="s">
        <v>68</v>
      </c>
      <c r="O44" s="1102" t="s">
        <v>70</v>
      </c>
      <c r="P44" s="1102" t="s">
        <v>329</v>
      </c>
      <c r="Q44" s="1102" t="s">
        <v>330</v>
      </c>
      <c r="R44" s="1102" t="s">
        <v>331</v>
      </c>
      <c r="S44" s="1102" t="s">
        <v>120</v>
      </c>
      <c r="T44" s="1102">
        <v>625</v>
      </c>
      <c r="U44" s="1102">
        <v>7200</v>
      </c>
      <c r="V44" s="1102">
        <v>4.5</v>
      </c>
      <c r="W44" s="1102">
        <v>200</v>
      </c>
      <c r="X44" s="1102">
        <v>10</v>
      </c>
      <c r="Y44" s="1102" t="s">
        <v>75</v>
      </c>
      <c r="Z44" s="1102" t="s">
        <v>75</v>
      </c>
      <c r="AB44" s="1103">
        <v>46030</v>
      </c>
      <c r="AC44" s="1102">
        <v>2</v>
      </c>
      <c r="AD44" s="1102" t="s">
        <v>332</v>
      </c>
      <c r="AF44" s="1102" t="s">
        <v>77</v>
      </c>
      <c r="AG44" s="1102" t="s">
        <v>61</v>
      </c>
      <c r="AH44" s="1102" t="s">
        <v>105</v>
      </c>
      <c r="AI44" s="1103">
        <v>46036</v>
      </c>
      <c r="AJ44" s="1103">
        <v>46038</v>
      </c>
      <c r="AK44" s="1103">
        <v>46038</v>
      </c>
      <c r="AL44" s="1103">
        <v>46077</v>
      </c>
      <c r="AM44" s="1103">
        <v>46094</v>
      </c>
      <c r="AN44" s="1103">
        <v>46094</v>
      </c>
      <c r="AO44" s="1102" t="s">
        <v>66</v>
      </c>
      <c r="AP44" s="1102" t="s">
        <v>333</v>
      </c>
      <c r="AQ44" s="1102" t="s">
        <v>161</v>
      </c>
      <c r="AR44" s="1102" t="s">
        <v>334</v>
      </c>
      <c r="AS44" s="1102" t="s">
        <v>335</v>
      </c>
      <c r="AT44" s="1102" t="s">
        <v>335</v>
      </c>
      <c r="AU44" s="1102">
        <v>56</v>
      </c>
      <c r="AW44" s="1103">
        <v>46094</v>
      </c>
      <c r="AX44" s="1102" t="s">
        <v>84</v>
      </c>
      <c r="AY44" s="1103">
        <v>46104</v>
      </c>
      <c r="AZ44" s="1102">
        <v>7</v>
      </c>
      <c r="BA44" s="1103">
        <v>46101</v>
      </c>
      <c r="BB44" s="1102">
        <v>2026</v>
      </c>
      <c r="BC44" s="1102">
        <v>3</v>
      </c>
      <c r="BD44" s="1102">
        <v>12</v>
      </c>
      <c r="BE44" s="1102">
        <v>36</v>
      </c>
      <c r="BF44" s="1102">
        <v>720</v>
      </c>
      <c r="BG44" s="1102" t="s">
        <v>128</v>
      </c>
      <c r="BH44" s="1102" t="s">
        <v>109</v>
      </c>
    </row>
    <row r="45" spans="1:60">
      <c r="A45" s="1102" t="s">
        <v>336</v>
      </c>
      <c r="B45" s="1102" t="s">
        <v>61</v>
      </c>
      <c r="C45" s="1102" t="s">
        <v>193</v>
      </c>
      <c r="D45" s="1102" t="s">
        <v>63</v>
      </c>
      <c r="E45" s="1102" t="s">
        <v>64</v>
      </c>
      <c r="F45" s="1102" t="s">
        <v>100</v>
      </c>
      <c r="G45" s="1102" t="s">
        <v>66</v>
      </c>
      <c r="H45" s="1102" t="s">
        <v>67</v>
      </c>
      <c r="I45" s="1102" t="s">
        <v>68</v>
      </c>
      <c r="J45" s="1102" t="s">
        <v>283</v>
      </c>
      <c r="M45" s="1102" t="s">
        <v>68</v>
      </c>
      <c r="N45" s="1102" t="s">
        <v>68</v>
      </c>
      <c r="O45" s="1102" t="s">
        <v>70</v>
      </c>
      <c r="P45" s="1102" t="s">
        <v>195</v>
      </c>
      <c r="Q45" s="1102" t="s">
        <v>196</v>
      </c>
      <c r="R45" s="1102" t="s">
        <v>73</v>
      </c>
      <c r="S45" s="1102" t="s">
        <v>74</v>
      </c>
      <c r="T45" s="1102">
        <v>450</v>
      </c>
      <c r="U45" s="1102">
        <v>936</v>
      </c>
      <c r="V45" s="1102">
        <v>0.42099999999999999</v>
      </c>
      <c r="W45" s="1102">
        <v>26</v>
      </c>
      <c r="X45" s="1102">
        <v>1</v>
      </c>
      <c r="Y45" s="1102" t="s">
        <v>75</v>
      </c>
      <c r="Z45" s="1102" t="s">
        <v>75</v>
      </c>
      <c r="AB45" s="1103">
        <v>46030</v>
      </c>
      <c r="AC45" s="1102">
        <v>2</v>
      </c>
      <c r="AD45" s="1102" t="s">
        <v>337</v>
      </c>
      <c r="AF45" s="1102" t="s">
        <v>77</v>
      </c>
      <c r="AG45" s="1102" t="s">
        <v>61</v>
      </c>
      <c r="AH45" s="1102" t="s">
        <v>105</v>
      </c>
      <c r="AI45" s="1103">
        <v>46036</v>
      </c>
      <c r="AJ45" s="1103">
        <v>46038</v>
      </c>
      <c r="AK45" s="1103">
        <v>46038</v>
      </c>
      <c r="AL45" s="1103">
        <v>46077</v>
      </c>
      <c r="AM45" s="1103">
        <v>46094</v>
      </c>
      <c r="AN45" s="1103">
        <v>46094</v>
      </c>
      <c r="AO45" s="1102" t="s">
        <v>66</v>
      </c>
      <c r="AP45" s="1102" t="s">
        <v>338</v>
      </c>
      <c r="AQ45" s="1102" t="s">
        <v>80</v>
      </c>
      <c r="AR45" s="1102" t="s">
        <v>339</v>
      </c>
      <c r="AS45" s="1102" t="s">
        <v>340</v>
      </c>
      <c r="AT45" s="1102" t="s">
        <v>340</v>
      </c>
      <c r="AU45" s="1102">
        <v>56</v>
      </c>
      <c r="AW45" s="1103">
        <v>46094</v>
      </c>
      <c r="AX45" s="1102" t="s">
        <v>84</v>
      </c>
      <c r="AY45" s="1103">
        <v>46107</v>
      </c>
      <c r="AZ45" s="1102">
        <v>7</v>
      </c>
      <c r="BA45" s="1103">
        <v>46101</v>
      </c>
      <c r="BB45" s="1102">
        <v>2026</v>
      </c>
      <c r="BC45" s="1102">
        <v>3</v>
      </c>
      <c r="BD45" s="1102">
        <v>12</v>
      </c>
      <c r="BE45" s="1102">
        <v>36</v>
      </c>
      <c r="BF45" s="1102">
        <v>936</v>
      </c>
      <c r="BG45" s="1102" t="s">
        <v>85</v>
      </c>
      <c r="BH45" s="1102" t="s">
        <v>109</v>
      </c>
    </row>
    <row r="46" spans="1:60">
      <c r="A46" s="1102" t="s">
        <v>341</v>
      </c>
      <c r="B46" s="1102" t="s">
        <v>61</v>
      </c>
      <c r="C46" s="1102" t="s">
        <v>326</v>
      </c>
      <c r="D46" s="1102" t="s">
        <v>113</v>
      </c>
      <c r="E46" s="1102" t="s">
        <v>64</v>
      </c>
      <c r="F46" s="1102" t="s">
        <v>100</v>
      </c>
      <c r="G46" s="1102" t="s">
        <v>66</v>
      </c>
      <c r="H46" s="1102" t="s">
        <v>67</v>
      </c>
      <c r="I46" s="1102" t="s">
        <v>68</v>
      </c>
      <c r="J46" s="1102" t="s">
        <v>327</v>
      </c>
      <c r="K46" s="1102" t="s">
        <v>328</v>
      </c>
      <c r="M46" s="1102" t="s">
        <v>68</v>
      </c>
      <c r="N46" s="1102" t="s">
        <v>68</v>
      </c>
      <c r="O46" s="1102" t="s">
        <v>70</v>
      </c>
      <c r="P46" s="1102" t="s">
        <v>329</v>
      </c>
      <c r="Q46" s="1102" t="s">
        <v>330</v>
      </c>
      <c r="R46" s="1102" t="s">
        <v>331</v>
      </c>
      <c r="S46" s="1102" t="s">
        <v>120</v>
      </c>
      <c r="T46" s="1102">
        <v>625</v>
      </c>
      <c r="U46" s="1102">
        <v>7200</v>
      </c>
      <c r="V46" s="1102">
        <v>4.5</v>
      </c>
      <c r="W46" s="1102">
        <v>200</v>
      </c>
      <c r="X46" s="1102">
        <v>10</v>
      </c>
      <c r="Y46" s="1102" t="s">
        <v>75</v>
      </c>
      <c r="Z46" s="1102" t="s">
        <v>75</v>
      </c>
      <c r="AB46" s="1103">
        <v>46026</v>
      </c>
      <c r="AC46" s="1102">
        <v>1</v>
      </c>
      <c r="AD46" s="1102" t="s">
        <v>342</v>
      </c>
      <c r="AF46" s="1102" t="s">
        <v>77</v>
      </c>
      <c r="AG46" s="1102" t="s">
        <v>61</v>
      </c>
      <c r="AH46" s="1102" t="s">
        <v>105</v>
      </c>
      <c r="AI46" s="1103">
        <v>46036</v>
      </c>
      <c r="AJ46" s="1103">
        <v>46038</v>
      </c>
      <c r="AK46" s="1103">
        <v>46038</v>
      </c>
      <c r="AL46" s="1103">
        <v>46077</v>
      </c>
      <c r="AM46" s="1103">
        <v>46094</v>
      </c>
      <c r="AN46" s="1103">
        <v>46094</v>
      </c>
      <c r="AO46" s="1102" t="s">
        <v>66</v>
      </c>
      <c r="AP46" s="1102" t="s">
        <v>333</v>
      </c>
      <c r="AQ46" s="1102" t="s">
        <v>161</v>
      </c>
      <c r="AR46" s="1102" t="s">
        <v>343</v>
      </c>
      <c r="AS46" s="1102" t="s">
        <v>344</v>
      </c>
      <c r="AT46" s="1102" t="s">
        <v>344</v>
      </c>
      <c r="AU46" s="1102">
        <v>56</v>
      </c>
      <c r="AW46" s="1103">
        <v>46094</v>
      </c>
      <c r="AX46" s="1102" t="s">
        <v>84</v>
      </c>
      <c r="AY46" s="1103">
        <v>46107</v>
      </c>
      <c r="AZ46" s="1102">
        <v>7</v>
      </c>
      <c r="BA46" s="1103">
        <v>46101</v>
      </c>
      <c r="BB46" s="1102">
        <v>2026</v>
      </c>
      <c r="BC46" s="1102">
        <v>3</v>
      </c>
      <c r="BD46" s="1102">
        <v>12</v>
      </c>
      <c r="BE46" s="1102">
        <v>36</v>
      </c>
      <c r="BF46" s="1102">
        <v>720</v>
      </c>
      <c r="BG46" s="1102" t="s">
        <v>128</v>
      </c>
      <c r="BH46" s="1102" t="s">
        <v>109</v>
      </c>
    </row>
    <row r="47" spans="1:60">
      <c r="A47" s="1102" t="s">
        <v>345</v>
      </c>
      <c r="B47" s="1102" t="s">
        <v>61</v>
      </c>
      <c r="C47" s="1102" t="s">
        <v>62</v>
      </c>
      <c r="D47" s="1102" t="s">
        <v>63</v>
      </c>
      <c r="E47" s="1102" t="s">
        <v>144</v>
      </c>
      <c r="F47" s="1102" t="s">
        <v>145</v>
      </c>
      <c r="G47" s="1102" t="s">
        <v>146</v>
      </c>
      <c r="H47" s="1102" t="s">
        <v>147</v>
      </c>
      <c r="I47" s="1102" t="s">
        <v>68</v>
      </c>
      <c r="J47" s="1102" t="s">
        <v>147</v>
      </c>
      <c r="K47" s="1102" t="s">
        <v>346</v>
      </c>
      <c r="M47" s="1102" t="s">
        <v>68</v>
      </c>
      <c r="N47" s="1102" t="s">
        <v>68</v>
      </c>
      <c r="O47" s="1102" t="s">
        <v>70</v>
      </c>
      <c r="P47" s="1102" t="s">
        <v>71</v>
      </c>
      <c r="Q47" s="1102" t="s">
        <v>72</v>
      </c>
      <c r="R47" s="1102" t="s">
        <v>73</v>
      </c>
      <c r="S47" s="1102" t="s">
        <v>74</v>
      </c>
      <c r="T47" s="1102">
        <v>500</v>
      </c>
      <c r="U47" s="1102">
        <v>864</v>
      </c>
      <c r="V47" s="1102">
        <v>0.432</v>
      </c>
      <c r="W47" s="1102">
        <v>24</v>
      </c>
      <c r="X47" s="1102">
        <v>1</v>
      </c>
      <c r="Y47" s="1102" t="s">
        <v>75</v>
      </c>
      <c r="Z47" s="1102" t="s">
        <v>75</v>
      </c>
      <c r="AB47" s="1103">
        <v>46027</v>
      </c>
      <c r="AC47" s="1102">
        <v>2</v>
      </c>
      <c r="AD47" s="1102" t="s">
        <v>347</v>
      </c>
      <c r="AF47" s="1102" t="s">
        <v>77</v>
      </c>
      <c r="AG47" s="1102" t="s">
        <v>61</v>
      </c>
      <c r="AH47" s="1102" t="s">
        <v>78</v>
      </c>
      <c r="AI47" s="1103">
        <v>46032</v>
      </c>
      <c r="AJ47" s="1103">
        <v>46034</v>
      </c>
      <c r="AK47" s="1103">
        <v>46034</v>
      </c>
      <c r="AL47" s="1103">
        <v>46091</v>
      </c>
      <c r="AM47" s="1103">
        <v>46095</v>
      </c>
      <c r="AN47" s="1103">
        <v>46096</v>
      </c>
      <c r="AO47" s="1102" t="s">
        <v>146</v>
      </c>
      <c r="AP47" s="1102" t="s">
        <v>348</v>
      </c>
      <c r="AQ47" s="1102" t="s">
        <v>80</v>
      </c>
      <c r="AR47" s="1102" t="s">
        <v>349</v>
      </c>
      <c r="AS47" s="1102" t="s">
        <v>350</v>
      </c>
      <c r="AT47" s="1102" t="s">
        <v>350</v>
      </c>
      <c r="AU47" s="1102">
        <v>62</v>
      </c>
      <c r="AW47" s="1103">
        <v>46096</v>
      </c>
      <c r="AX47" s="1102" t="s">
        <v>84</v>
      </c>
      <c r="AY47" s="1103">
        <v>46105</v>
      </c>
      <c r="AZ47" s="1102" t="s">
        <v>152</v>
      </c>
      <c r="BA47" s="1103">
        <v>46096</v>
      </c>
      <c r="BB47" s="1102">
        <v>2026</v>
      </c>
      <c r="BC47" s="1102">
        <v>3</v>
      </c>
      <c r="BD47" s="1102">
        <v>11</v>
      </c>
      <c r="BE47" s="1102">
        <v>36</v>
      </c>
      <c r="BF47" s="1102">
        <v>864</v>
      </c>
      <c r="BG47" s="1102" t="s">
        <v>85</v>
      </c>
      <c r="BH47" s="1102" t="s">
        <v>86</v>
      </c>
    </row>
    <row r="48" spans="1:60">
      <c r="A48" s="1102" t="s">
        <v>351</v>
      </c>
      <c r="B48" s="1102" t="s">
        <v>111</v>
      </c>
      <c r="C48" s="1102" t="s">
        <v>352</v>
      </c>
      <c r="D48" s="1102" t="s">
        <v>113</v>
      </c>
      <c r="E48" s="1102" t="s">
        <v>64</v>
      </c>
      <c r="F48" s="1102" t="s">
        <v>65</v>
      </c>
      <c r="G48" s="1102" t="s">
        <v>66</v>
      </c>
      <c r="H48" s="1102" t="s">
        <v>67</v>
      </c>
      <c r="I48" s="1102" t="s">
        <v>68</v>
      </c>
      <c r="J48" s="1102" t="s">
        <v>353</v>
      </c>
      <c r="K48" s="1102" t="s">
        <v>354</v>
      </c>
      <c r="M48" s="1102" t="s">
        <v>68</v>
      </c>
      <c r="N48" s="1102" t="s">
        <v>68</v>
      </c>
      <c r="O48" s="1102" t="s">
        <v>70</v>
      </c>
      <c r="P48" s="1102" t="s">
        <v>218</v>
      </c>
      <c r="Q48" s="1102" t="s">
        <v>219</v>
      </c>
      <c r="R48" s="1102" t="s">
        <v>73</v>
      </c>
      <c r="S48" s="1102" t="s">
        <v>120</v>
      </c>
      <c r="T48" s="1102">
        <v>625</v>
      </c>
      <c r="U48" s="1102">
        <v>2880</v>
      </c>
      <c r="V48" s="1102">
        <v>1.8</v>
      </c>
      <c r="W48" s="1102">
        <v>80</v>
      </c>
      <c r="X48" s="1102">
        <v>4</v>
      </c>
      <c r="Y48" s="1102" t="s">
        <v>75</v>
      </c>
      <c r="Z48" s="1102" t="s">
        <v>75</v>
      </c>
      <c r="AB48" s="1103">
        <v>46035</v>
      </c>
      <c r="AC48" s="1102">
        <v>3</v>
      </c>
      <c r="AD48" s="1102" t="s">
        <v>355</v>
      </c>
      <c r="AF48" s="1102" t="s">
        <v>122</v>
      </c>
      <c r="AG48" s="1102" t="s">
        <v>123</v>
      </c>
      <c r="AH48" s="1102" t="s">
        <v>356</v>
      </c>
      <c r="AI48" s="1103">
        <v>46040</v>
      </c>
      <c r="AJ48" s="1103">
        <v>46045</v>
      </c>
      <c r="AK48" s="1103">
        <v>46043</v>
      </c>
      <c r="AL48" s="1103">
        <v>46077</v>
      </c>
      <c r="AM48" s="1103">
        <v>46077</v>
      </c>
      <c r="AN48" s="1103">
        <v>46079</v>
      </c>
      <c r="AO48" s="1102" t="s">
        <v>66</v>
      </c>
      <c r="AP48" s="1102" t="s">
        <v>357</v>
      </c>
      <c r="AQ48" s="1102" t="s">
        <v>161</v>
      </c>
      <c r="AR48" s="1102" t="s">
        <v>358</v>
      </c>
      <c r="AS48" s="1102" t="s">
        <v>359</v>
      </c>
      <c r="AT48" s="1102" t="s">
        <v>359</v>
      </c>
      <c r="AU48" s="1102">
        <v>36</v>
      </c>
      <c r="AW48" s="1103">
        <v>46079</v>
      </c>
      <c r="AX48" s="1102" t="s">
        <v>84</v>
      </c>
      <c r="AY48" s="1103">
        <v>46091</v>
      </c>
      <c r="AZ48" s="1102">
        <v>8</v>
      </c>
      <c r="BA48" s="1103">
        <v>46087</v>
      </c>
      <c r="BB48" s="1102">
        <v>2026</v>
      </c>
      <c r="BC48" s="1102">
        <v>3</v>
      </c>
      <c r="BD48" s="1102">
        <v>10</v>
      </c>
      <c r="BE48" s="1102">
        <v>36</v>
      </c>
      <c r="BF48" s="1102">
        <v>720</v>
      </c>
      <c r="BG48" s="1102" t="s">
        <v>128</v>
      </c>
      <c r="BH48" s="1102" t="s">
        <v>109</v>
      </c>
    </row>
    <row r="49" spans="1:60">
      <c r="A49" s="1102" t="s">
        <v>360</v>
      </c>
      <c r="B49" s="1102" t="s">
        <v>111</v>
      </c>
      <c r="C49" s="1102" t="s">
        <v>215</v>
      </c>
      <c r="D49" s="1102" t="s">
        <v>113</v>
      </c>
      <c r="E49" s="1102" t="s">
        <v>64</v>
      </c>
      <c r="F49" s="1102" t="s">
        <v>65</v>
      </c>
      <c r="G49" s="1102" t="s">
        <v>66</v>
      </c>
      <c r="H49" s="1102" t="s">
        <v>67</v>
      </c>
      <c r="I49" s="1102" t="s">
        <v>68</v>
      </c>
      <c r="J49" s="1102" t="s">
        <v>353</v>
      </c>
      <c r="K49" s="1102" t="s">
        <v>354</v>
      </c>
      <c r="M49" s="1102" t="s">
        <v>68</v>
      </c>
      <c r="N49" s="1102" t="s">
        <v>68</v>
      </c>
      <c r="O49" s="1102" t="s">
        <v>70</v>
      </c>
      <c r="P49" s="1102" t="s">
        <v>218</v>
      </c>
      <c r="Q49" s="1102" t="s">
        <v>219</v>
      </c>
      <c r="R49" s="1102" t="s">
        <v>73</v>
      </c>
      <c r="S49" s="1102" t="s">
        <v>120</v>
      </c>
      <c r="T49" s="1102">
        <v>625</v>
      </c>
      <c r="U49" s="1102">
        <v>1440</v>
      </c>
      <c r="V49" s="1102">
        <v>0.9</v>
      </c>
      <c r="W49" s="1102">
        <v>40</v>
      </c>
      <c r="X49" s="1102">
        <v>2</v>
      </c>
      <c r="Y49" s="1102" t="s">
        <v>75</v>
      </c>
      <c r="Z49" s="1102" t="s">
        <v>75</v>
      </c>
      <c r="AB49" s="1103">
        <v>46035</v>
      </c>
      <c r="AC49" s="1102">
        <v>3</v>
      </c>
      <c r="AD49" s="1102" t="s">
        <v>361</v>
      </c>
      <c r="AF49" s="1102" t="s">
        <v>122</v>
      </c>
      <c r="AG49" s="1102" t="s">
        <v>123</v>
      </c>
      <c r="AH49" s="1102" t="s">
        <v>356</v>
      </c>
      <c r="AI49" s="1103">
        <v>46040</v>
      </c>
      <c r="AJ49" s="1103">
        <v>46045</v>
      </c>
      <c r="AK49" s="1103">
        <v>46043</v>
      </c>
      <c r="AL49" s="1103">
        <v>46077</v>
      </c>
      <c r="AM49" s="1103">
        <v>46077</v>
      </c>
      <c r="AN49" s="1103">
        <v>46079</v>
      </c>
      <c r="AO49" s="1102" t="s">
        <v>66</v>
      </c>
      <c r="AP49" s="1102" t="s">
        <v>357</v>
      </c>
      <c r="AQ49" s="1102" t="s">
        <v>161</v>
      </c>
      <c r="AR49" s="1102" t="s">
        <v>358</v>
      </c>
      <c r="AS49" s="1102" t="s">
        <v>359</v>
      </c>
      <c r="AT49" s="1102" t="s">
        <v>359</v>
      </c>
      <c r="AU49" s="1102">
        <v>36</v>
      </c>
      <c r="AW49" s="1103">
        <v>46079</v>
      </c>
      <c r="AX49" s="1102" t="s">
        <v>84</v>
      </c>
      <c r="AY49" s="1103">
        <v>46091</v>
      </c>
      <c r="AZ49" s="1102">
        <v>8</v>
      </c>
      <c r="BA49" s="1103">
        <v>46087</v>
      </c>
      <c r="BB49" s="1102">
        <v>2026</v>
      </c>
      <c r="BC49" s="1102">
        <v>3</v>
      </c>
      <c r="BD49" s="1102">
        <v>10</v>
      </c>
      <c r="BE49" s="1102">
        <v>36</v>
      </c>
      <c r="BF49" s="1102">
        <v>720</v>
      </c>
      <c r="BG49" s="1102" t="s">
        <v>128</v>
      </c>
      <c r="BH49" s="1102" t="s">
        <v>109</v>
      </c>
    </row>
    <row r="50" spans="1:60">
      <c r="A50" s="1102" t="s">
        <v>362</v>
      </c>
      <c r="B50" s="1102" t="s">
        <v>111</v>
      </c>
      <c r="C50" s="1102" t="s">
        <v>215</v>
      </c>
      <c r="D50" s="1102" t="s">
        <v>113</v>
      </c>
      <c r="E50" s="1102" t="s">
        <v>64</v>
      </c>
      <c r="F50" s="1102" t="s">
        <v>65</v>
      </c>
      <c r="G50" s="1102" t="s">
        <v>66</v>
      </c>
      <c r="H50" s="1102" t="s">
        <v>67</v>
      </c>
      <c r="I50" s="1102" t="s">
        <v>68</v>
      </c>
      <c r="J50" s="1102" t="s">
        <v>363</v>
      </c>
      <c r="K50" s="1102" t="s">
        <v>364</v>
      </c>
      <c r="M50" s="1102" t="s">
        <v>68</v>
      </c>
      <c r="N50" s="1102" t="s">
        <v>68</v>
      </c>
      <c r="O50" s="1102" t="s">
        <v>70</v>
      </c>
      <c r="P50" s="1102" t="s">
        <v>218</v>
      </c>
      <c r="Q50" s="1102" t="s">
        <v>219</v>
      </c>
      <c r="R50" s="1102" t="s">
        <v>73</v>
      </c>
      <c r="S50" s="1102" t="s">
        <v>120</v>
      </c>
      <c r="T50" s="1102">
        <v>625</v>
      </c>
      <c r="U50" s="1102">
        <v>2880</v>
      </c>
      <c r="V50" s="1102">
        <v>1.8</v>
      </c>
      <c r="W50" s="1102">
        <v>80</v>
      </c>
      <c r="X50" s="1102">
        <v>4</v>
      </c>
      <c r="Y50" s="1102" t="s">
        <v>75</v>
      </c>
      <c r="Z50" s="1102" t="s">
        <v>75</v>
      </c>
      <c r="AB50" s="1103">
        <v>46035</v>
      </c>
      <c r="AC50" s="1102">
        <v>3</v>
      </c>
      <c r="AD50" s="1102" t="s">
        <v>365</v>
      </c>
      <c r="AF50" s="1102" t="s">
        <v>122</v>
      </c>
      <c r="AG50" s="1102" t="s">
        <v>123</v>
      </c>
      <c r="AH50" s="1102" t="s">
        <v>356</v>
      </c>
      <c r="AI50" s="1103">
        <v>46040</v>
      </c>
      <c r="AJ50" s="1103">
        <v>46045</v>
      </c>
      <c r="AK50" s="1103">
        <v>46043</v>
      </c>
      <c r="AL50" s="1103">
        <v>46077</v>
      </c>
      <c r="AM50" s="1103">
        <v>46077</v>
      </c>
      <c r="AN50" s="1103">
        <v>46079</v>
      </c>
      <c r="AO50" s="1102" t="s">
        <v>66</v>
      </c>
      <c r="AP50" s="1102" t="s">
        <v>357</v>
      </c>
      <c r="AQ50" s="1102" t="s">
        <v>161</v>
      </c>
      <c r="AR50" s="1102" t="s">
        <v>358</v>
      </c>
      <c r="AS50" s="1102" t="s">
        <v>359</v>
      </c>
      <c r="AT50" s="1102" t="s">
        <v>359</v>
      </c>
      <c r="AU50" s="1102">
        <v>36</v>
      </c>
      <c r="AW50" s="1103">
        <v>46079</v>
      </c>
      <c r="AX50" s="1102" t="s">
        <v>84</v>
      </c>
      <c r="AY50" s="1103">
        <v>46091</v>
      </c>
      <c r="AZ50" s="1102">
        <v>8</v>
      </c>
      <c r="BA50" s="1103">
        <v>46087</v>
      </c>
      <c r="BB50" s="1102">
        <v>2026</v>
      </c>
      <c r="BC50" s="1102">
        <v>3</v>
      </c>
      <c r="BD50" s="1102">
        <v>10</v>
      </c>
      <c r="BE50" s="1102">
        <v>36</v>
      </c>
      <c r="BF50" s="1102">
        <v>720</v>
      </c>
      <c r="BG50" s="1102" t="s">
        <v>128</v>
      </c>
      <c r="BH50" s="1102" t="s">
        <v>109</v>
      </c>
    </row>
    <row r="51" spans="1:60">
      <c r="A51" s="1102" t="s">
        <v>366</v>
      </c>
      <c r="B51" s="1102" t="s">
        <v>111</v>
      </c>
      <c r="C51" s="1102" t="s">
        <v>215</v>
      </c>
      <c r="D51" s="1102" t="s">
        <v>113</v>
      </c>
      <c r="E51" s="1102" t="s">
        <v>64</v>
      </c>
      <c r="F51" s="1102" t="s">
        <v>65</v>
      </c>
      <c r="G51" s="1102" t="s">
        <v>66</v>
      </c>
      <c r="H51" s="1102" t="s">
        <v>67</v>
      </c>
      <c r="I51" s="1102" t="s">
        <v>68</v>
      </c>
      <c r="J51" s="1102" t="s">
        <v>363</v>
      </c>
      <c r="K51" s="1102" t="s">
        <v>364</v>
      </c>
      <c r="M51" s="1102" t="s">
        <v>68</v>
      </c>
      <c r="N51" s="1102" t="s">
        <v>68</v>
      </c>
      <c r="O51" s="1102" t="s">
        <v>70</v>
      </c>
      <c r="P51" s="1102" t="s">
        <v>218</v>
      </c>
      <c r="Q51" s="1102" t="s">
        <v>219</v>
      </c>
      <c r="R51" s="1102" t="s">
        <v>73</v>
      </c>
      <c r="S51" s="1102" t="s">
        <v>120</v>
      </c>
      <c r="T51" s="1102">
        <v>625</v>
      </c>
      <c r="U51" s="1102">
        <v>1440</v>
      </c>
      <c r="V51" s="1102">
        <v>0.9</v>
      </c>
      <c r="W51" s="1102">
        <v>40</v>
      </c>
      <c r="X51" s="1102">
        <v>2</v>
      </c>
      <c r="Y51" s="1102" t="s">
        <v>75</v>
      </c>
      <c r="Z51" s="1102" t="s">
        <v>75</v>
      </c>
      <c r="AB51" s="1103">
        <v>46035</v>
      </c>
      <c r="AC51" s="1102">
        <v>3</v>
      </c>
      <c r="AD51" s="1102" t="s">
        <v>367</v>
      </c>
      <c r="AF51" s="1102" t="s">
        <v>122</v>
      </c>
      <c r="AG51" s="1102" t="s">
        <v>123</v>
      </c>
      <c r="AH51" s="1102" t="s">
        <v>356</v>
      </c>
      <c r="AI51" s="1103">
        <v>46040</v>
      </c>
      <c r="AJ51" s="1103">
        <v>46045</v>
      </c>
      <c r="AK51" s="1103">
        <v>46043</v>
      </c>
      <c r="AL51" s="1103">
        <v>46077</v>
      </c>
      <c r="AM51" s="1103">
        <v>46077</v>
      </c>
      <c r="AN51" s="1103">
        <v>46079</v>
      </c>
      <c r="AO51" s="1102" t="s">
        <v>66</v>
      </c>
      <c r="AP51" s="1102" t="s">
        <v>357</v>
      </c>
      <c r="AQ51" s="1102" t="s">
        <v>161</v>
      </c>
      <c r="AR51" s="1102" t="s">
        <v>358</v>
      </c>
      <c r="AS51" s="1102" t="s">
        <v>359</v>
      </c>
      <c r="AT51" s="1102" t="s">
        <v>359</v>
      </c>
      <c r="AU51" s="1102">
        <v>36</v>
      </c>
      <c r="AW51" s="1103">
        <v>46079</v>
      </c>
      <c r="AX51" s="1102" t="s">
        <v>84</v>
      </c>
      <c r="AY51" s="1103">
        <v>46091</v>
      </c>
      <c r="AZ51" s="1102">
        <v>8</v>
      </c>
      <c r="BA51" s="1103">
        <v>46087</v>
      </c>
      <c r="BB51" s="1102">
        <v>2026</v>
      </c>
      <c r="BC51" s="1102">
        <v>3</v>
      </c>
      <c r="BD51" s="1102">
        <v>10</v>
      </c>
      <c r="BE51" s="1102">
        <v>36</v>
      </c>
      <c r="BF51" s="1102">
        <v>720</v>
      </c>
      <c r="BG51" s="1102" t="s">
        <v>128</v>
      </c>
      <c r="BH51" s="1102" t="s">
        <v>109</v>
      </c>
    </row>
    <row r="52" spans="1:60">
      <c r="A52" s="1102" t="s">
        <v>368</v>
      </c>
      <c r="B52" s="1102" t="s">
        <v>111</v>
      </c>
      <c r="C52" s="1102" t="s">
        <v>215</v>
      </c>
      <c r="D52" s="1102" t="s">
        <v>113</v>
      </c>
      <c r="E52" s="1102" t="s">
        <v>64</v>
      </c>
      <c r="F52" s="1102" t="s">
        <v>65</v>
      </c>
      <c r="G52" s="1102" t="s">
        <v>66</v>
      </c>
      <c r="H52" s="1102" t="s">
        <v>67</v>
      </c>
      <c r="I52" s="1102" t="s">
        <v>68</v>
      </c>
      <c r="J52" s="1102" t="s">
        <v>216</v>
      </c>
      <c r="K52" s="1102" t="s">
        <v>217</v>
      </c>
      <c r="M52" s="1102" t="s">
        <v>68</v>
      </c>
      <c r="N52" s="1102" t="s">
        <v>68</v>
      </c>
      <c r="O52" s="1102" t="s">
        <v>70</v>
      </c>
      <c r="P52" s="1102" t="s">
        <v>218</v>
      </c>
      <c r="Q52" s="1102" t="s">
        <v>219</v>
      </c>
      <c r="R52" s="1102" t="s">
        <v>73</v>
      </c>
      <c r="S52" s="1102" t="s">
        <v>120</v>
      </c>
      <c r="T52" s="1102">
        <v>625</v>
      </c>
      <c r="U52" s="1102">
        <v>72</v>
      </c>
      <c r="V52" s="1102">
        <v>4.4999999999999998E-2</v>
      </c>
      <c r="W52" s="1102">
        <v>2</v>
      </c>
      <c r="X52" s="1102">
        <v>0.1</v>
      </c>
      <c r="Y52" s="1102" t="s">
        <v>75</v>
      </c>
      <c r="Z52" s="1102" t="s">
        <v>75</v>
      </c>
      <c r="AB52" s="1103">
        <v>46035</v>
      </c>
      <c r="AC52" s="1102">
        <v>3</v>
      </c>
      <c r="AD52" s="1102" t="s">
        <v>369</v>
      </c>
      <c r="AF52" s="1102" t="s">
        <v>122</v>
      </c>
      <c r="AG52" s="1102" t="s">
        <v>123</v>
      </c>
      <c r="AH52" s="1102" t="s">
        <v>356</v>
      </c>
      <c r="AI52" s="1103">
        <v>46040</v>
      </c>
      <c r="AJ52" s="1103">
        <v>46043</v>
      </c>
      <c r="AK52" s="1103">
        <v>46043</v>
      </c>
      <c r="AL52" s="1103">
        <v>46077</v>
      </c>
      <c r="AM52" s="1103">
        <v>46077</v>
      </c>
      <c r="AN52" s="1103">
        <v>46078</v>
      </c>
      <c r="AO52" s="1102" t="s">
        <v>66</v>
      </c>
      <c r="AP52" s="1102" t="s">
        <v>370</v>
      </c>
      <c r="AQ52" s="1102" t="s">
        <v>80</v>
      </c>
      <c r="AR52" s="1102" t="s">
        <v>371</v>
      </c>
      <c r="AS52" s="1102" t="s">
        <v>372</v>
      </c>
      <c r="AT52" s="1102" t="s">
        <v>372</v>
      </c>
      <c r="AU52" s="1102">
        <v>35</v>
      </c>
      <c r="AW52" s="1103">
        <v>46078</v>
      </c>
      <c r="AX52" s="1102" t="s">
        <v>84</v>
      </c>
      <c r="AY52" s="1103">
        <v>46091</v>
      </c>
      <c r="AZ52" s="1102">
        <v>8</v>
      </c>
      <c r="BA52" s="1103">
        <v>46086</v>
      </c>
      <c r="BB52" s="1102">
        <v>2026</v>
      </c>
      <c r="BC52" s="1102">
        <v>3</v>
      </c>
      <c r="BD52" s="1102">
        <v>10</v>
      </c>
      <c r="BE52" s="1102">
        <v>36</v>
      </c>
      <c r="BF52" s="1102">
        <v>720</v>
      </c>
      <c r="BG52" s="1102" t="s">
        <v>128</v>
      </c>
      <c r="BH52" s="1102" t="s">
        <v>109</v>
      </c>
    </row>
    <row r="53" spans="1:60">
      <c r="A53" s="1102" t="s">
        <v>373</v>
      </c>
      <c r="B53" s="1102" t="s">
        <v>111</v>
      </c>
      <c r="C53" s="1102" t="s">
        <v>215</v>
      </c>
      <c r="D53" s="1102" t="s">
        <v>113</v>
      </c>
      <c r="E53" s="1102" t="s">
        <v>64</v>
      </c>
      <c r="F53" s="1102" t="s">
        <v>65</v>
      </c>
      <c r="G53" s="1102" t="s">
        <v>66</v>
      </c>
      <c r="H53" s="1102" t="s">
        <v>67</v>
      </c>
      <c r="I53" s="1102" t="s">
        <v>68</v>
      </c>
      <c r="J53" s="1102" t="s">
        <v>363</v>
      </c>
      <c r="K53" s="1102" t="s">
        <v>364</v>
      </c>
      <c r="M53" s="1102" t="s">
        <v>68</v>
      </c>
      <c r="N53" s="1102" t="s">
        <v>68</v>
      </c>
      <c r="O53" s="1102" t="s">
        <v>70</v>
      </c>
      <c r="P53" s="1102" t="s">
        <v>218</v>
      </c>
      <c r="Q53" s="1102" t="s">
        <v>219</v>
      </c>
      <c r="R53" s="1102" t="s">
        <v>73</v>
      </c>
      <c r="S53" s="1102" t="s">
        <v>120</v>
      </c>
      <c r="T53" s="1102">
        <v>625</v>
      </c>
      <c r="U53" s="1102">
        <v>324</v>
      </c>
      <c r="V53" s="1102">
        <v>0.20300000000000001</v>
      </c>
      <c r="W53" s="1102">
        <v>9</v>
      </c>
      <c r="X53" s="1102">
        <v>0.5</v>
      </c>
      <c r="Y53" s="1102" t="s">
        <v>75</v>
      </c>
      <c r="Z53" s="1102" t="s">
        <v>75</v>
      </c>
      <c r="AB53" s="1103">
        <v>46035</v>
      </c>
      <c r="AC53" s="1102">
        <v>3</v>
      </c>
      <c r="AD53" s="1102" t="s">
        <v>374</v>
      </c>
      <c r="AF53" s="1102" t="s">
        <v>122</v>
      </c>
      <c r="AG53" s="1102" t="s">
        <v>123</v>
      </c>
      <c r="AH53" s="1102" t="s">
        <v>356</v>
      </c>
      <c r="AI53" s="1103">
        <v>46040</v>
      </c>
      <c r="AJ53" s="1103">
        <v>46043</v>
      </c>
      <c r="AK53" s="1103">
        <v>46043</v>
      </c>
      <c r="AL53" s="1103">
        <v>46077</v>
      </c>
      <c r="AM53" s="1103">
        <v>46077</v>
      </c>
      <c r="AN53" s="1103">
        <v>46078</v>
      </c>
      <c r="AO53" s="1102" t="s">
        <v>66</v>
      </c>
      <c r="AP53" s="1102" t="s">
        <v>370</v>
      </c>
      <c r="AQ53" s="1102" t="s">
        <v>80</v>
      </c>
      <c r="AR53" s="1102" t="s">
        <v>371</v>
      </c>
      <c r="AS53" s="1102" t="s">
        <v>372</v>
      </c>
      <c r="AT53" s="1102" t="s">
        <v>372</v>
      </c>
      <c r="AU53" s="1102">
        <v>35</v>
      </c>
      <c r="AW53" s="1103">
        <v>46078</v>
      </c>
      <c r="AX53" s="1102" t="s">
        <v>84</v>
      </c>
      <c r="AY53" s="1103">
        <v>46091</v>
      </c>
      <c r="AZ53" s="1102">
        <v>8</v>
      </c>
      <c r="BA53" s="1103">
        <v>46086</v>
      </c>
      <c r="BB53" s="1102">
        <v>2026</v>
      </c>
      <c r="BC53" s="1102">
        <v>3</v>
      </c>
      <c r="BD53" s="1102">
        <v>10</v>
      </c>
      <c r="BE53" s="1102">
        <v>36</v>
      </c>
      <c r="BF53" s="1102">
        <v>720</v>
      </c>
      <c r="BG53" s="1102" t="s">
        <v>128</v>
      </c>
      <c r="BH53" s="1102" t="s">
        <v>109</v>
      </c>
    </row>
    <row r="54" spans="1:60">
      <c r="A54" s="1102" t="s">
        <v>375</v>
      </c>
      <c r="B54" s="1102" t="s">
        <v>111</v>
      </c>
      <c r="C54" s="1102" t="s">
        <v>376</v>
      </c>
      <c r="D54" s="1102" t="s">
        <v>113</v>
      </c>
      <c r="E54" s="1102" t="s">
        <v>64</v>
      </c>
      <c r="F54" s="1102" t="s">
        <v>65</v>
      </c>
      <c r="G54" s="1102" t="s">
        <v>66</v>
      </c>
      <c r="H54" s="1102" t="s">
        <v>67</v>
      </c>
      <c r="I54" s="1102" t="s">
        <v>68</v>
      </c>
      <c r="J54" s="1102" t="s">
        <v>377</v>
      </c>
      <c r="K54" s="1102" t="s">
        <v>328</v>
      </c>
      <c r="M54" s="1102" t="s">
        <v>68</v>
      </c>
      <c r="N54" s="1102" t="s">
        <v>68</v>
      </c>
      <c r="O54" s="1102" t="s">
        <v>70</v>
      </c>
      <c r="P54" s="1102" t="s">
        <v>378</v>
      </c>
      <c r="Q54" s="1102" t="s">
        <v>379</v>
      </c>
      <c r="R54" s="1102" t="s">
        <v>73</v>
      </c>
      <c r="S54" s="1102" t="s">
        <v>120</v>
      </c>
      <c r="T54" s="1102">
        <v>620</v>
      </c>
      <c r="U54" s="1102">
        <v>324</v>
      </c>
      <c r="V54" s="1102">
        <v>0.20100000000000001</v>
      </c>
      <c r="W54" s="1102">
        <v>9</v>
      </c>
      <c r="X54" s="1102">
        <v>0.5</v>
      </c>
      <c r="Y54" s="1102" t="s">
        <v>75</v>
      </c>
      <c r="Z54" s="1102" t="s">
        <v>75</v>
      </c>
      <c r="AB54" s="1103">
        <v>46035</v>
      </c>
      <c r="AC54" s="1102">
        <v>3</v>
      </c>
      <c r="AD54" s="1102" t="s">
        <v>380</v>
      </c>
      <c r="AF54" s="1102" t="s">
        <v>122</v>
      </c>
      <c r="AG54" s="1102" t="s">
        <v>123</v>
      </c>
      <c r="AH54" s="1102" t="s">
        <v>356</v>
      </c>
      <c r="AI54" s="1103">
        <v>46040</v>
      </c>
      <c r="AJ54" s="1103">
        <v>46043</v>
      </c>
      <c r="AK54" s="1103">
        <v>46043</v>
      </c>
      <c r="AL54" s="1103">
        <v>46077</v>
      </c>
      <c r="AM54" s="1103">
        <v>46077</v>
      </c>
      <c r="AN54" s="1103">
        <v>46078</v>
      </c>
      <c r="AO54" s="1102" t="s">
        <v>66</v>
      </c>
      <c r="AP54" s="1102" t="s">
        <v>370</v>
      </c>
      <c r="AQ54" s="1102" t="s">
        <v>80</v>
      </c>
      <c r="AR54" s="1102" t="s">
        <v>371</v>
      </c>
      <c r="AS54" s="1102" t="s">
        <v>372</v>
      </c>
      <c r="AT54" s="1102" t="s">
        <v>372</v>
      </c>
      <c r="AU54" s="1102">
        <v>35</v>
      </c>
      <c r="AW54" s="1103">
        <v>46078</v>
      </c>
      <c r="AX54" s="1102" t="s">
        <v>84</v>
      </c>
      <c r="AY54" s="1103">
        <v>46091</v>
      </c>
      <c r="AZ54" s="1102">
        <v>8</v>
      </c>
      <c r="BA54" s="1103">
        <v>46086</v>
      </c>
      <c r="BB54" s="1102">
        <v>2026</v>
      </c>
      <c r="BC54" s="1102">
        <v>3</v>
      </c>
      <c r="BD54" s="1102">
        <v>10</v>
      </c>
      <c r="BE54" s="1102">
        <v>36</v>
      </c>
      <c r="BF54" s="1102">
        <v>720</v>
      </c>
      <c r="BG54" s="1102" t="s">
        <v>128</v>
      </c>
      <c r="BH54" s="1102" t="s">
        <v>109</v>
      </c>
    </row>
    <row r="55" spans="1:60">
      <c r="A55" s="1102" t="s">
        <v>381</v>
      </c>
      <c r="B55" s="1102" t="s">
        <v>111</v>
      </c>
      <c r="C55" s="1102" t="s">
        <v>187</v>
      </c>
      <c r="D55" s="1102" t="s">
        <v>63</v>
      </c>
      <c r="E55" s="1102" t="s">
        <v>64</v>
      </c>
      <c r="F55" s="1102" t="s">
        <v>65</v>
      </c>
      <c r="G55" s="1102" t="s">
        <v>66</v>
      </c>
      <c r="H55" s="1102" t="s">
        <v>67</v>
      </c>
      <c r="I55" s="1102" t="s">
        <v>68</v>
      </c>
      <c r="J55" s="1102" t="s">
        <v>188</v>
      </c>
      <c r="M55" s="1102" t="s">
        <v>68</v>
      </c>
      <c r="N55" s="1102" t="s">
        <v>68</v>
      </c>
      <c r="O55" s="1102" t="s">
        <v>132</v>
      </c>
      <c r="P55" s="1102" t="s">
        <v>189</v>
      </c>
      <c r="Q55" s="1102" t="s">
        <v>190</v>
      </c>
      <c r="R55" s="1102" t="s">
        <v>73</v>
      </c>
      <c r="S55" s="1102" t="s">
        <v>74</v>
      </c>
      <c r="T55" s="1102">
        <v>465</v>
      </c>
      <c r="U55" s="1102">
        <v>1728</v>
      </c>
      <c r="V55" s="1102">
        <v>0.80400000000000005</v>
      </c>
      <c r="W55" s="1102">
        <v>48</v>
      </c>
      <c r="X55" s="1102">
        <v>2</v>
      </c>
      <c r="Y55" s="1102" t="s">
        <v>75</v>
      </c>
      <c r="Z55" s="1102" t="s">
        <v>75</v>
      </c>
      <c r="AB55" s="1103">
        <v>46033</v>
      </c>
      <c r="AC55" s="1102">
        <v>2</v>
      </c>
      <c r="AD55" s="1102" t="s">
        <v>382</v>
      </c>
      <c r="AF55" s="1102" t="s">
        <v>122</v>
      </c>
      <c r="AG55" s="1102" t="s">
        <v>123</v>
      </c>
      <c r="AH55" s="1102" t="s">
        <v>78</v>
      </c>
      <c r="AI55" s="1103">
        <v>46042</v>
      </c>
      <c r="AJ55" s="1103">
        <v>46044</v>
      </c>
      <c r="AK55" s="1103">
        <v>46044</v>
      </c>
      <c r="AL55" s="1103">
        <v>46085</v>
      </c>
      <c r="AM55" s="1103">
        <v>46101</v>
      </c>
      <c r="AN55" s="1103">
        <v>46102</v>
      </c>
      <c r="AO55" s="1102" t="s">
        <v>66</v>
      </c>
      <c r="AP55" s="1102" t="s">
        <v>383</v>
      </c>
      <c r="AQ55" s="1102" t="s">
        <v>80</v>
      </c>
      <c r="AR55" s="1102" t="s">
        <v>384</v>
      </c>
      <c r="AS55" s="1102" t="s">
        <v>385</v>
      </c>
      <c r="AT55" s="1102" t="s">
        <v>385</v>
      </c>
      <c r="AU55" s="1102">
        <v>58</v>
      </c>
      <c r="AW55" s="1103">
        <v>46102</v>
      </c>
      <c r="AX55" s="1102" t="s">
        <v>84</v>
      </c>
      <c r="AY55" s="1103">
        <v>46115</v>
      </c>
      <c r="AZ55" s="1102">
        <v>8</v>
      </c>
      <c r="BA55" s="1103">
        <v>46110</v>
      </c>
      <c r="BB55" s="1102">
        <v>2026</v>
      </c>
      <c r="BC55" s="1102">
        <v>3</v>
      </c>
      <c r="BD55" s="1102">
        <v>13</v>
      </c>
      <c r="BE55" s="1102">
        <v>36</v>
      </c>
      <c r="BF55" s="1102">
        <v>864</v>
      </c>
      <c r="BG55" s="1102" t="s">
        <v>108</v>
      </c>
      <c r="BH55" s="1102" t="s">
        <v>86</v>
      </c>
    </row>
    <row r="56" spans="1:60">
      <c r="A56" s="1102" t="s">
        <v>386</v>
      </c>
      <c r="B56" s="1102" t="s">
        <v>111</v>
      </c>
      <c r="C56" s="1102" t="s">
        <v>387</v>
      </c>
      <c r="D56" s="1102" t="s">
        <v>63</v>
      </c>
      <c r="E56" s="1102" t="s">
        <v>64</v>
      </c>
      <c r="F56" s="1102" t="s">
        <v>65</v>
      </c>
      <c r="G56" s="1102" t="s">
        <v>66</v>
      </c>
      <c r="H56" s="1102" t="s">
        <v>67</v>
      </c>
      <c r="I56" s="1102" t="s">
        <v>68</v>
      </c>
      <c r="J56" s="1102" t="s">
        <v>188</v>
      </c>
      <c r="M56" s="1102" t="s">
        <v>68</v>
      </c>
      <c r="N56" s="1102" t="s">
        <v>68</v>
      </c>
      <c r="O56" s="1102" t="s">
        <v>132</v>
      </c>
      <c r="P56" s="1102" t="s">
        <v>189</v>
      </c>
      <c r="Q56" s="1102" t="s">
        <v>190</v>
      </c>
      <c r="R56" s="1102" t="s">
        <v>73</v>
      </c>
      <c r="S56" s="1102" t="s">
        <v>74</v>
      </c>
      <c r="T56" s="1102">
        <v>465</v>
      </c>
      <c r="U56" s="1102">
        <v>2592</v>
      </c>
      <c r="V56" s="1102">
        <v>1.2050000000000001</v>
      </c>
      <c r="W56" s="1102">
        <v>72</v>
      </c>
      <c r="X56" s="1102">
        <v>3</v>
      </c>
      <c r="Y56" s="1102" t="s">
        <v>75</v>
      </c>
      <c r="Z56" s="1102" t="s">
        <v>75</v>
      </c>
      <c r="AB56" s="1103">
        <v>46033</v>
      </c>
      <c r="AC56" s="1102">
        <v>2</v>
      </c>
      <c r="AD56" s="1102" t="s">
        <v>388</v>
      </c>
      <c r="AF56" s="1102" t="s">
        <v>122</v>
      </c>
      <c r="AG56" s="1102" t="s">
        <v>123</v>
      </c>
      <c r="AH56" s="1102" t="s">
        <v>78</v>
      </c>
      <c r="AI56" s="1103">
        <v>46042</v>
      </c>
      <c r="AJ56" s="1103">
        <v>46044</v>
      </c>
      <c r="AK56" s="1103">
        <v>46044</v>
      </c>
      <c r="AL56" s="1103">
        <v>46085</v>
      </c>
      <c r="AM56" s="1103">
        <v>46101</v>
      </c>
      <c r="AN56" s="1103">
        <v>46102</v>
      </c>
      <c r="AO56" s="1102" t="s">
        <v>66</v>
      </c>
      <c r="AP56" s="1102" t="s">
        <v>383</v>
      </c>
      <c r="AQ56" s="1102" t="s">
        <v>80</v>
      </c>
      <c r="AR56" s="1102" t="s">
        <v>384</v>
      </c>
      <c r="AS56" s="1102" t="s">
        <v>385</v>
      </c>
      <c r="AT56" s="1102" t="s">
        <v>385</v>
      </c>
      <c r="AU56" s="1102">
        <v>58</v>
      </c>
      <c r="AW56" s="1103">
        <v>46102</v>
      </c>
      <c r="AX56" s="1102" t="s">
        <v>84</v>
      </c>
      <c r="AY56" s="1103">
        <v>46115</v>
      </c>
      <c r="AZ56" s="1102">
        <v>8</v>
      </c>
      <c r="BA56" s="1103">
        <v>46110</v>
      </c>
      <c r="BB56" s="1102">
        <v>2026</v>
      </c>
      <c r="BC56" s="1102">
        <v>3</v>
      </c>
      <c r="BD56" s="1102">
        <v>13</v>
      </c>
      <c r="BE56" s="1102">
        <v>36</v>
      </c>
      <c r="BF56" s="1102">
        <v>864</v>
      </c>
      <c r="BG56" s="1102" t="s">
        <v>108</v>
      </c>
      <c r="BH56" s="1102" t="s">
        <v>86</v>
      </c>
    </row>
    <row r="57" spans="1:60">
      <c r="A57" s="1102" t="s">
        <v>389</v>
      </c>
      <c r="B57" s="1102" t="s">
        <v>111</v>
      </c>
      <c r="C57" s="1102" t="s">
        <v>387</v>
      </c>
      <c r="D57" s="1102" t="s">
        <v>63</v>
      </c>
      <c r="E57" s="1102" t="s">
        <v>64</v>
      </c>
      <c r="F57" s="1102" t="s">
        <v>65</v>
      </c>
      <c r="G57" s="1102" t="s">
        <v>66</v>
      </c>
      <c r="H57" s="1102" t="s">
        <v>67</v>
      </c>
      <c r="I57" s="1102" t="s">
        <v>68</v>
      </c>
      <c r="J57" s="1102" t="s">
        <v>188</v>
      </c>
      <c r="M57" s="1102" t="s">
        <v>68</v>
      </c>
      <c r="N57" s="1102" t="s">
        <v>68</v>
      </c>
      <c r="O57" s="1102" t="s">
        <v>132</v>
      </c>
      <c r="P57" s="1102" t="s">
        <v>189</v>
      </c>
      <c r="Q57" s="1102" t="s">
        <v>190</v>
      </c>
      <c r="R57" s="1102" t="s">
        <v>73</v>
      </c>
      <c r="S57" s="1102" t="s">
        <v>74</v>
      </c>
      <c r="T57" s="1102">
        <v>465</v>
      </c>
      <c r="U57" s="1102">
        <v>1728</v>
      </c>
      <c r="V57" s="1102">
        <v>0.80400000000000005</v>
      </c>
      <c r="W57" s="1102">
        <v>48</v>
      </c>
      <c r="X57" s="1102">
        <v>2</v>
      </c>
      <c r="Y57" s="1102" t="s">
        <v>75</v>
      </c>
      <c r="Z57" s="1102" t="s">
        <v>75</v>
      </c>
      <c r="AB57" s="1103">
        <v>46033</v>
      </c>
      <c r="AC57" s="1102">
        <v>2</v>
      </c>
      <c r="AD57" s="1102" t="s">
        <v>390</v>
      </c>
      <c r="AF57" s="1102" t="s">
        <v>122</v>
      </c>
      <c r="AG57" s="1102" t="s">
        <v>123</v>
      </c>
      <c r="AH57" s="1102" t="s">
        <v>78</v>
      </c>
      <c r="AI57" s="1103">
        <v>46042</v>
      </c>
      <c r="AJ57" s="1103">
        <v>46044</v>
      </c>
      <c r="AK57" s="1103">
        <v>46044</v>
      </c>
      <c r="AL57" s="1103">
        <v>46085</v>
      </c>
      <c r="AM57" s="1103">
        <v>46101</v>
      </c>
      <c r="AN57" s="1103">
        <v>46102</v>
      </c>
      <c r="AO57" s="1102" t="s">
        <v>66</v>
      </c>
      <c r="AP57" s="1102" t="s">
        <v>383</v>
      </c>
      <c r="AQ57" s="1102" t="s">
        <v>80</v>
      </c>
      <c r="AR57" s="1102" t="s">
        <v>384</v>
      </c>
      <c r="AS57" s="1102" t="s">
        <v>385</v>
      </c>
      <c r="AT57" s="1102" t="s">
        <v>385</v>
      </c>
      <c r="AU57" s="1102">
        <v>58</v>
      </c>
      <c r="AW57" s="1103">
        <v>46102</v>
      </c>
      <c r="AX57" s="1102" t="s">
        <v>84</v>
      </c>
      <c r="AY57" s="1103">
        <v>46115</v>
      </c>
      <c r="AZ57" s="1102">
        <v>8</v>
      </c>
      <c r="BA57" s="1103">
        <v>46110</v>
      </c>
      <c r="BB57" s="1102">
        <v>2026</v>
      </c>
      <c r="BC57" s="1102">
        <v>3</v>
      </c>
      <c r="BD57" s="1102">
        <v>13</v>
      </c>
      <c r="BE57" s="1102">
        <v>36</v>
      </c>
      <c r="BF57" s="1102">
        <v>864</v>
      </c>
      <c r="BG57" s="1102" t="s">
        <v>108</v>
      </c>
      <c r="BH57" s="1102" t="s">
        <v>86</v>
      </c>
    </row>
    <row r="58" spans="1:60">
      <c r="A58" s="1102" t="s">
        <v>391</v>
      </c>
      <c r="B58" s="1102" t="s">
        <v>111</v>
      </c>
      <c r="C58" s="1102" t="s">
        <v>187</v>
      </c>
      <c r="D58" s="1102" t="s">
        <v>63</v>
      </c>
      <c r="E58" s="1102" t="s">
        <v>64</v>
      </c>
      <c r="F58" s="1102" t="s">
        <v>100</v>
      </c>
      <c r="G58" s="1102" t="s">
        <v>66</v>
      </c>
      <c r="H58" s="1102" t="s">
        <v>67</v>
      </c>
      <c r="I58" s="1102" t="s">
        <v>68</v>
      </c>
      <c r="J58" s="1102" t="s">
        <v>101</v>
      </c>
      <c r="M58" s="1102" t="s">
        <v>68</v>
      </c>
      <c r="N58" s="1102" t="s">
        <v>68</v>
      </c>
      <c r="O58" s="1102" t="s">
        <v>132</v>
      </c>
      <c r="P58" s="1102" t="s">
        <v>189</v>
      </c>
      <c r="Q58" s="1102" t="s">
        <v>190</v>
      </c>
      <c r="R58" s="1102" t="s">
        <v>73</v>
      </c>
      <c r="S58" s="1102" t="s">
        <v>74</v>
      </c>
      <c r="T58" s="1102">
        <v>465</v>
      </c>
      <c r="U58" s="1102">
        <v>1728</v>
      </c>
      <c r="V58" s="1102">
        <v>0.80400000000000005</v>
      </c>
      <c r="W58" s="1102">
        <v>48</v>
      </c>
      <c r="X58" s="1102">
        <v>2</v>
      </c>
      <c r="Y58" s="1102" t="s">
        <v>75</v>
      </c>
      <c r="Z58" s="1102" t="s">
        <v>75</v>
      </c>
      <c r="AB58" s="1103">
        <v>46039</v>
      </c>
      <c r="AC58" s="1102">
        <v>3</v>
      </c>
      <c r="AD58" s="1102" t="s">
        <v>392</v>
      </c>
      <c r="AF58" s="1102" t="s">
        <v>122</v>
      </c>
      <c r="AG58" s="1102" t="s">
        <v>123</v>
      </c>
      <c r="AH58" s="1102" t="s">
        <v>105</v>
      </c>
      <c r="AI58" s="1103">
        <v>46045</v>
      </c>
      <c r="AJ58" s="1103">
        <v>46047</v>
      </c>
      <c r="AK58" s="1103">
        <v>46047</v>
      </c>
      <c r="AL58" s="1103">
        <v>46096</v>
      </c>
      <c r="AM58" s="1103">
        <v>46111</v>
      </c>
      <c r="AN58" s="1103">
        <v>46116</v>
      </c>
      <c r="AO58" s="1102" t="s">
        <v>66</v>
      </c>
      <c r="AP58" s="1102" t="s">
        <v>393</v>
      </c>
      <c r="AQ58" s="1102" t="s">
        <v>80</v>
      </c>
      <c r="AR58" s="1102" t="s">
        <v>394</v>
      </c>
      <c r="AS58" s="1102" t="s">
        <v>395</v>
      </c>
      <c r="AT58" s="1102" t="s">
        <v>395</v>
      </c>
      <c r="AU58" s="1102">
        <v>69</v>
      </c>
      <c r="AW58" s="1103">
        <v>46116</v>
      </c>
      <c r="AX58" s="1102" t="s">
        <v>84</v>
      </c>
      <c r="AY58" s="1103">
        <v>46129</v>
      </c>
      <c r="AZ58" s="1102">
        <v>7</v>
      </c>
      <c r="BA58" s="1103">
        <v>46123</v>
      </c>
      <c r="BB58" s="1102">
        <v>2026</v>
      </c>
      <c r="BC58" s="1102">
        <v>4</v>
      </c>
      <c r="BD58" s="1102">
        <v>15</v>
      </c>
      <c r="BE58" s="1102">
        <v>36</v>
      </c>
      <c r="BF58" s="1102">
        <v>864</v>
      </c>
      <c r="BG58" s="1102" t="s">
        <v>108</v>
      </c>
      <c r="BH58" s="1102" t="s">
        <v>109</v>
      </c>
    </row>
    <row r="59" spans="1:60">
      <c r="A59" s="1102" t="s">
        <v>396</v>
      </c>
      <c r="B59" s="1102" t="s">
        <v>111</v>
      </c>
      <c r="C59" s="1102" t="s">
        <v>112</v>
      </c>
      <c r="D59" s="1102" t="s">
        <v>113</v>
      </c>
      <c r="E59" s="1102" t="s">
        <v>64</v>
      </c>
      <c r="F59" s="1102" t="s">
        <v>114</v>
      </c>
      <c r="G59" s="1102" t="s">
        <v>66</v>
      </c>
      <c r="H59" s="1102" t="s">
        <v>115</v>
      </c>
      <c r="I59" s="1102" t="s">
        <v>68</v>
      </c>
      <c r="J59" s="1102" t="s">
        <v>116</v>
      </c>
      <c r="K59" s="1102" t="s">
        <v>266</v>
      </c>
      <c r="M59" s="1102" t="s">
        <v>68</v>
      </c>
      <c r="N59" s="1102" t="s">
        <v>68</v>
      </c>
      <c r="O59" s="1102" t="s">
        <v>70</v>
      </c>
      <c r="P59" s="1102" t="s">
        <v>118</v>
      </c>
      <c r="Q59" s="1102" t="s">
        <v>119</v>
      </c>
      <c r="R59" s="1102" t="s">
        <v>73</v>
      </c>
      <c r="S59" s="1102" t="s">
        <v>120</v>
      </c>
      <c r="T59" s="1102">
        <v>640</v>
      </c>
      <c r="U59" s="1102">
        <v>1152</v>
      </c>
      <c r="V59" s="1102">
        <v>0.73699999999999999</v>
      </c>
      <c r="W59" s="1102">
        <v>32</v>
      </c>
      <c r="X59" s="1102">
        <v>2</v>
      </c>
      <c r="Y59" s="1102" t="s">
        <v>75</v>
      </c>
      <c r="Z59" s="1102" t="s">
        <v>75</v>
      </c>
      <c r="AB59" s="1103">
        <v>46039</v>
      </c>
      <c r="AC59" s="1102">
        <v>3</v>
      </c>
      <c r="AD59" s="1102" t="s">
        <v>397</v>
      </c>
      <c r="AF59" s="1102" t="s">
        <v>122</v>
      </c>
      <c r="AG59" s="1102" t="s">
        <v>123</v>
      </c>
      <c r="AH59" s="1102" t="s">
        <v>124</v>
      </c>
      <c r="AI59" s="1103">
        <v>46043</v>
      </c>
      <c r="AJ59" s="1103">
        <v>46046</v>
      </c>
      <c r="AK59" s="1103">
        <v>46046</v>
      </c>
      <c r="AL59" s="1103">
        <v>46081</v>
      </c>
      <c r="AM59" s="1103">
        <v>46091</v>
      </c>
      <c r="AN59" s="1103">
        <v>46092</v>
      </c>
      <c r="AO59" s="1102" t="s">
        <v>66</v>
      </c>
      <c r="AP59" s="1102" t="s">
        <v>398</v>
      </c>
      <c r="AQ59" s="1102" t="s">
        <v>161</v>
      </c>
      <c r="AR59" s="1102" t="s">
        <v>399</v>
      </c>
      <c r="AS59" s="1102">
        <v>263794612</v>
      </c>
      <c r="AT59" s="1102">
        <v>263794612</v>
      </c>
      <c r="AU59" s="1102">
        <v>46</v>
      </c>
      <c r="AW59" s="1103">
        <v>46092</v>
      </c>
      <c r="AX59" s="1102" t="s">
        <v>84</v>
      </c>
      <c r="AY59" s="1103">
        <v>46097</v>
      </c>
      <c r="AZ59" s="1102">
        <v>9</v>
      </c>
      <c r="BA59" s="1103">
        <v>46101</v>
      </c>
      <c r="BB59" s="1102">
        <v>2026</v>
      </c>
      <c r="BC59" s="1102">
        <v>3</v>
      </c>
      <c r="BD59" s="1102">
        <v>12</v>
      </c>
      <c r="BE59" s="1102">
        <v>36</v>
      </c>
      <c r="BF59" s="1102">
        <v>576</v>
      </c>
      <c r="BG59" s="1102" t="s">
        <v>128</v>
      </c>
      <c r="BH59" s="1102" t="s">
        <v>86</v>
      </c>
    </row>
    <row r="60" spans="1:60">
      <c r="A60" s="1102" t="s">
        <v>400</v>
      </c>
      <c r="B60" s="1102" t="s">
        <v>111</v>
      </c>
      <c r="C60" s="1102" t="s">
        <v>401</v>
      </c>
      <c r="D60" s="1102" t="s">
        <v>63</v>
      </c>
      <c r="E60" s="1102" t="s">
        <v>144</v>
      </c>
      <c r="F60" s="1102" t="s">
        <v>145</v>
      </c>
      <c r="G60" s="1102" t="s">
        <v>402</v>
      </c>
      <c r="H60" s="1102" t="s">
        <v>403</v>
      </c>
      <c r="I60" s="1102" t="s">
        <v>68</v>
      </c>
      <c r="J60" s="1102" t="s">
        <v>404</v>
      </c>
      <c r="M60" s="1102" t="s">
        <v>68</v>
      </c>
      <c r="N60" s="1102" t="s">
        <v>68</v>
      </c>
      <c r="O60" s="1102" t="s">
        <v>132</v>
      </c>
      <c r="P60" s="1102" t="s">
        <v>405</v>
      </c>
      <c r="Q60" s="1102" t="s">
        <v>406</v>
      </c>
      <c r="R60" s="1102" t="s">
        <v>73</v>
      </c>
      <c r="S60" s="1102" t="s">
        <v>120</v>
      </c>
      <c r="T60" s="1102">
        <v>510</v>
      </c>
      <c r="U60" s="1102">
        <v>2376</v>
      </c>
      <c r="V60" s="1102">
        <v>1.212</v>
      </c>
      <c r="W60" s="1102">
        <v>66</v>
      </c>
      <c r="X60" s="1102">
        <v>3</v>
      </c>
      <c r="Y60" s="1102" t="s">
        <v>75</v>
      </c>
      <c r="Z60" s="1102" t="s">
        <v>75</v>
      </c>
      <c r="AB60" s="1103">
        <v>46035</v>
      </c>
      <c r="AC60" s="1102">
        <v>3</v>
      </c>
      <c r="AD60" s="1102" t="s">
        <v>407</v>
      </c>
      <c r="AF60" s="1102" t="s">
        <v>122</v>
      </c>
      <c r="AG60" s="1102" t="s">
        <v>123</v>
      </c>
      <c r="AH60" s="1102" t="s">
        <v>124</v>
      </c>
      <c r="AI60" s="1103">
        <v>46042</v>
      </c>
      <c r="AJ60" s="1103">
        <v>46041</v>
      </c>
      <c r="AK60" s="1103">
        <v>46041</v>
      </c>
      <c r="AL60" s="1103">
        <v>46086</v>
      </c>
      <c r="AM60" s="1103">
        <v>46079</v>
      </c>
      <c r="AN60" s="1103">
        <v>46079</v>
      </c>
      <c r="AO60" s="1102" t="s">
        <v>402</v>
      </c>
      <c r="AP60" s="1102" t="s">
        <v>408</v>
      </c>
      <c r="AQ60" s="1102" t="s">
        <v>80</v>
      </c>
      <c r="AR60" s="1102" t="s">
        <v>409</v>
      </c>
      <c r="AS60" s="1102" t="s">
        <v>410</v>
      </c>
      <c r="AT60" s="1102" t="s">
        <v>410</v>
      </c>
      <c r="AU60" s="1102">
        <v>38</v>
      </c>
      <c r="AW60" s="1103">
        <v>46079</v>
      </c>
      <c r="AX60" s="1102" t="s">
        <v>84</v>
      </c>
      <c r="AY60" s="1103">
        <v>46086</v>
      </c>
      <c r="AZ60" s="1102" t="s">
        <v>152</v>
      </c>
      <c r="BA60" s="1103">
        <v>46079</v>
      </c>
      <c r="BB60" s="1102">
        <v>2026</v>
      </c>
      <c r="BC60" s="1102">
        <v>2</v>
      </c>
      <c r="BD60" s="1102">
        <v>9</v>
      </c>
      <c r="BE60" s="1102">
        <v>36</v>
      </c>
      <c r="BF60" s="1102">
        <v>792</v>
      </c>
      <c r="BG60" s="1102" t="s">
        <v>108</v>
      </c>
      <c r="BH60" s="1102" t="s">
        <v>86</v>
      </c>
    </row>
    <row r="61" spans="1:60">
      <c r="A61" s="1102" t="s">
        <v>411</v>
      </c>
      <c r="B61" s="1102" t="s">
        <v>111</v>
      </c>
      <c r="C61" s="1102" t="s">
        <v>168</v>
      </c>
      <c r="D61" s="1102" t="s">
        <v>63</v>
      </c>
      <c r="E61" s="1102" t="s">
        <v>64</v>
      </c>
      <c r="F61" s="1102" t="s">
        <v>65</v>
      </c>
      <c r="G61" s="1102" t="s">
        <v>66</v>
      </c>
      <c r="H61" s="1102" t="s">
        <v>67</v>
      </c>
      <c r="I61" s="1102" t="s">
        <v>68</v>
      </c>
      <c r="J61" s="1102" t="s">
        <v>232</v>
      </c>
      <c r="M61" s="1102" t="s">
        <v>68</v>
      </c>
      <c r="N61" s="1102" t="s">
        <v>68</v>
      </c>
      <c r="O61" s="1102" t="s">
        <v>170</v>
      </c>
      <c r="P61" s="1102" t="s">
        <v>171</v>
      </c>
      <c r="Q61" s="1102" t="s">
        <v>172</v>
      </c>
      <c r="R61" s="1102" t="s">
        <v>73</v>
      </c>
      <c r="S61" s="1102" t="s">
        <v>120</v>
      </c>
      <c r="T61" s="1102">
        <v>555</v>
      </c>
      <c r="U61" s="1102">
        <v>660</v>
      </c>
      <c r="V61" s="1102">
        <v>0.36599999999999999</v>
      </c>
      <c r="W61" s="1102">
        <v>20</v>
      </c>
      <c r="X61" s="1102">
        <v>1</v>
      </c>
      <c r="Y61" s="1102" t="s">
        <v>75</v>
      </c>
      <c r="Z61" s="1102" t="s">
        <v>75</v>
      </c>
      <c r="AB61" s="1103">
        <v>46035</v>
      </c>
      <c r="AC61" s="1102">
        <v>3</v>
      </c>
      <c r="AD61" s="1102" t="s">
        <v>412</v>
      </c>
      <c r="AF61" s="1102" t="s">
        <v>122</v>
      </c>
      <c r="AG61" s="1102" t="s">
        <v>123</v>
      </c>
      <c r="AH61" s="1102" t="s">
        <v>78</v>
      </c>
      <c r="AI61" s="1103">
        <v>46042</v>
      </c>
      <c r="AJ61" s="1103">
        <v>46041</v>
      </c>
      <c r="AK61" s="1103">
        <v>46041</v>
      </c>
      <c r="AL61" s="1103">
        <v>46091</v>
      </c>
      <c r="AM61" s="1103">
        <v>46090</v>
      </c>
      <c r="AN61" s="1103">
        <v>46090</v>
      </c>
      <c r="AO61" s="1102" t="s">
        <v>66</v>
      </c>
      <c r="AP61" s="1102" t="s">
        <v>408</v>
      </c>
      <c r="AQ61" s="1102" t="s">
        <v>80</v>
      </c>
      <c r="AR61" s="1102" t="s">
        <v>413</v>
      </c>
      <c r="AS61" s="1102" t="s">
        <v>414</v>
      </c>
      <c r="AT61" s="1102" t="s">
        <v>414</v>
      </c>
      <c r="AU61" s="1102">
        <v>49</v>
      </c>
      <c r="AW61" s="1103">
        <v>46090</v>
      </c>
      <c r="AX61" s="1102" t="s">
        <v>84</v>
      </c>
      <c r="AY61" s="1103">
        <v>46104</v>
      </c>
      <c r="AZ61" s="1102">
        <v>8</v>
      </c>
      <c r="BA61" s="1103">
        <v>46098</v>
      </c>
      <c r="BB61" s="1102">
        <v>2026</v>
      </c>
      <c r="BC61" s="1102">
        <v>3</v>
      </c>
      <c r="BD61" s="1102">
        <v>12</v>
      </c>
      <c r="BE61" s="1102">
        <v>33</v>
      </c>
      <c r="BF61" s="1102">
        <v>660</v>
      </c>
      <c r="BG61" s="1102" t="s">
        <v>108</v>
      </c>
      <c r="BH61" s="1102" t="s">
        <v>86</v>
      </c>
    </row>
    <row r="62" spans="1:60">
      <c r="A62" s="1102" t="s">
        <v>415</v>
      </c>
      <c r="B62" s="1102" t="s">
        <v>111</v>
      </c>
      <c r="C62" s="1102" t="s">
        <v>168</v>
      </c>
      <c r="D62" s="1102" t="s">
        <v>63</v>
      </c>
      <c r="E62" s="1102" t="s">
        <v>64</v>
      </c>
      <c r="F62" s="1102" t="s">
        <v>65</v>
      </c>
      <c r="G62" s="1102" t="s">
        <v>66</v>
      </c>
      <c r="H62" s="1102" t="s">
        <v>67</v>
      </c>
      <c r="I62" s="1102" t="s">
        <v>68</v>
      </c>
      <c r="J62" s="1102" t="s">
        <v>232</v>
      </c>
      <c r="M62" s="1102" t="s">
        <v>68</v>
      </c>
      <c r="N62" s="1102" t="s">
        <v>68</v>
      </c>
      <c r="O62" s="1102" t="s">
        <v>170</v>
      </c>
      <c r="P62" s="1102" t="s">
        <v>171</v>
      </c>
      <c r="Q62" s="1102" t="s">
        <v>172</v>
      </c>
      <c r="R62" s="1102" t="s">
        <v>73</v>
      </c>
      <c r="S62" s="1102" t="s">
        <v>120</v>
      </c>
      <c r="T62" s="1102">
        <v>555</v>
      </c>
      <c r="U62" s="1102">
        <v>1320</v>
      </c>
      <c r="V62" s="1102">
        <v>0.73299999999999998</v>
      </c>
      <c r="W62" s="1102">
        <v>40</v>
      </c>
      <c r="X62" s="1102">
        <v>2</v>
      </c>
      <c r="Y62" s="1102" t="s">
        <v>75</v>
      </c>
      <c r="Z62" s="1102" t="s">
        <v>75</v>
      </c>
      <c r="AB62" s="1103">
        <v>46035</v>
      </c>
      <c r="AC62" s="1102">
        <v>3</v>
      </c>
      <c r="AD62" s="1102" t="s">
        <v>416</v>
      </c>
      <c r="AF62" s="1102" t="s">
        <v>122</v>
      </c>
      <c r="AG62" s="1102" t="s">
        <v>123</v>
      </c>
      <c r="AH62" s="1102" t="s">
        <v>78</v>
      </c>
      <c r="AI62" s="1103">
        <v>46042</v>
      </c>
      <c r="AJ62" s="1103">
        <v>46041</v>
      </c>
      <c r="AK62" s="1103">
        <v>46041</v>
      </c>
      <c r="AL62" s="1103">
        <v>46091</v>
      </c>
      <c r="AM62" s="1103">
        <v>46090</v>
      </c>
      <c r="AN62" s="1103">
        <v>46090</v>
      </c>
      <c r="AO62" s="1102" t="s">
        <v>66</v>
      </c>
      <c r="AP62" s="1102" t="s">
        <v>408</v>
      </c>
      <c r="AQ62" s="1102" t="s">
        <v>80</v>
      </c>
      <c r="AR62" s="1102" t="s">
        <v>413</v>
      </c>
      <c r="AS62" s="1102" t="s">
        <v>414</v>
      </c>
      <c r="AT62" s="1102" t="s">
        <v>414</v>
      </c>
      <c r="AU62" s="1102">
        <v>49</v>
      </c>
      <c r="AW62" s="1103">
        <v>46090</v>
      </c>
      <c r="AX62" s="1102" t="s">
        <v>84</v>
      </c>
      <c r="AY62" s="1103">
        <v>46104</v>
      </c>
      <c r="AZ62" s="1102">
        <v>8</v>
      </c>
      <c r="BA62" s="1103">
        <v>46098</v>
      </c>
      <c r="BB62" s="1102">
        <v>2026</v>
      </c>
      <c r="BC62" s="1102">
        <v>3</v>
      </c>
      <c r="BD62" s="1102">
        <v>12</v>
      </c>
      <c r="BE62" s="1102">
        <v>33</v>
      </c>
      <c r="BF62" s="1102">
        <v>660</v>
      </c>
      <c r="BG62" s="1102" t="s">
        <v>108</v>
      </c>
      <c r="BH62" s="1102" t="s">
        <v>86</v>
      </c>
    </row>
    <row r="63" spans="1:60">
      <c r="A63" s="1102" t="s">
        <v>417</v>
      </c>
      <c r="B63" s="1102" t="s">
        <v>61</v>
      </c>
      <c r="C63" s="1102" t="s">
        <v>418</v>
      </c>
      <c r="D63" s="1102" t="s">
        <v>63</v>
      </c>
      <c r="E63" s="1102" t="s">
        <v>64</v>
      </c>
      <c r="F63" s="1102" t="s">
        <v>100</v>
      </c>
      <c r="G63" s="1102" t="s">
        <v>66</v>
      </c>
      <c r="H63" s="1102" t="s">
        <v>67</v>
      </c>
      <c r="I63" s="1102" t="s">
        <v>68</v>
      </c>
      <c r="J63" s="1102" t="s">
        <v>419</v>
      </c>
      <c r="M63" s="1102" t="s">
        <v>68</v>
      </c>
      <c r="N63" s="1102" t="s">
        <v>68</v>
      </c>
      <c r="O63" s="1102" t="s">
        <v>70</v>
      </c>
      <c r="P63" s="1102" t="s">
        <v>420</v>
      </c>
      <c r="Q63" s="1102" t="s">
        <v>421</v>
      </c>
      <c r="R63" s="1102" t="s">
        <v>73</v>
      </c>
      <c r="S63" s="1102" t="s">
        <v>120</v>
      </c>
      <c r="T63" s="1102">
        <v>505</v>
      </c>
      <c r="U63" s="1102">
        <v>1728</v>
      </c>
      <c r="V63" s="1102">
        <v>0.873</v>
      </c>
      <c r="W63" s="1102">
        <v>48</v>
      </c>
      <c r="X63" s="1102">
        <v>2</v>
      </c>
      <c r="Y63" s="1102" t="s">
        <v>75</v>
      </c>
      <c r="Z63" s="1102" t="s">
        <v>75</v>
      </c>
      <c r="AB63" s="1103">
        <v>46031</v>
      </c>
      <c r="AC63" s="1102">
        <v>2</v>
      </c>
      <c r="AD63" s="1102" t="s">
        <v>422</v>
      </c>
      <c r="AF63" s="1102" t="s">
        <v>77</v>
      </c>
      <c r="AG63" s="1102" t="s">
        <v>61</v>
      </c>
      <c r="AH63" s="1102" t="s">
        <v>105</v>
      </c>
      <c r="AI63" s="1103">
        <v>46036</v>
      </c>
      <c r="AJ63" s="1103">
        <v>46038</v>
      </c>
      <c r="AK63" s="1103">
        <v>46038</v>
      </c>
      <c r="AL63" s="1103">
        <v>46077</v>
      </c>
      <c r="AM63" s="1103">
        <v>46094</v>
      </c>
      <c r="AN63" s="1103">
        <v>46094</v>
      </c>
      <c r="AO63" s="1102" t="s">
        <v>66</v>
      </c>
      <c r="AP63" s="1102" t="s">
        <v>338</v>
      </c>
      <c r="AQ63" s="1102" t="s">
        <v>80</v>
      </c>
      <c r="AR63" s="1102" t="s">
        <v>423</v>
      </c>
      <c r="AS63" s="1102" t="s">
        <v>424</v>
      </c>
      <c r="AT63" s="1102" t="s">
        <v>424</v>
      </c>
      <c r="AU63" s="1102">
        <v>56</v>
      </c>
      <c r="AW63" s="1103">
        <v>46094</v>
      </c>
      <c r="AX63" s="1102" t="s">
        <v>84</v>
      </c>
      <c r="AY63" s="1103">
        <v>46104</v>
      </c>
      <c r="AZ63" s="1102">
        <v>7</v>
      </c>
      <c r="BA63" s="1103">
        <v>46101</v>
      </c>
      <c r="BB63" s="1102">
        <v>2026</v>
      </c>
      <c r="BC63" s="1102">
        <v>3</v>
      </c>
      <c r="BD63" s="1102">
        <v>12</v>
      </c>
      <c r="BE63" s="1102">
        <v>36</v>
      </c>
      <c r="BF63" s="1102">
        <v>864</v>
      </c>
      <c r="BG63" s="1102" t="s">
        <v>85</v>
      </c>
      <c r="BH63" s="1102" t="s">
        <v>109</v>
      </c>
    </row>
    <row r="64" spans="1:60">
      <c r="A64" s="1102" t="s">
        <v>425</v>
      </c>
      <c r="B64" s="1102" t="s">
        <v>61</v>
      </c>
      <c r="C64" s="1102" t="s">
        <v>326</v>
      </c>
      <c r="D64" s="1102" t="s">
        <v>113</v>
      </c>
      <c r="E64" s="1102" t="s">
        <v>64</v>
      </c>
      <c r="F64" s="1102" t="s">
        <v>100</v>
      </c>
      <c r="G64" s="1102" t="s">
        <v>66</v>
      </c>
      <c r="H64" s="1102" t="s">
        <v>67</v>
      </c>
      <c r="I64" s="1102" t="s">
        <v>68</v>
      </c>
      <c r="J64" s="1102" t="s">
        <v>327</v>
      </c>
      <c r="K64" s="1102" t="s">
        <v>328</v>
      </c>
      <c r="M64" s="1102" t="s">
        <v>68</v>
      </c>
      <c r="N64" s="1102" t="s">
        <v>68</v>
      </c>
      <c r="O64" s="1102" t="s">
        <v>70</v>
      </c>
      <c r="P64" s="1102" t="s">
        <v>329</v>
      </c>
      <c r="Q64" s="1102" t="s">
        <v>330</v>
      </c>
      <c r="R64" s="1102" t="s">
        <v>331</v>
      </c>
      <c r="S64" s="1102" t="s">
        <v>120</v>
      </c>
      <c r="T64" s="1102">
        <v>625</v>
      </c>
      <c r="U64" s="1102">
        <v>7200</v>
      </c>
      <c r="V64" s="1102">
        <v>4.5</v>
      </c>
      <c r="W64" s="1102">
        <v>200</v>
      </c>
      <c r="X64" s="1102">
        <v>10</v>
      </c>
      <c r="Y64" s="1102" t="s">
        <v>75</v>
      </c>
      <c r="Z64" s="1102" t="s">
        <v>75</v>
      </c>
      <c r="AB64" s="1103">
        <v>46034</v>
      </c>
      <c r="AC64" s="1102">
        <v>3</v>
      </c>
      <c r="AD64" s="1102" t="s">
        <v>426</v>
      </c>
      <c r="AF64" s="1102" t="s">
        <v>77</v>
      </c>
      <c r="AG64" s="1102" t="s">
        <v>61</v>
      </c>
      <c r="AH64" s="1102" t="s">
        <v>105</v>
      </c>
      <c r="AI64" s="1103">
        <v>46040</v>
      </c>
      <c r="AJ64" s="1103">
        <v>46040</v>
      </c>
      <c r="AK64" s="1103">
        <v>46040</v>
      </c>
      <c r="AL64" s="1103">
        <v>46084</v>
      </c>
      <c r="AM64" s="1103">
        <v>46103</v>
      </c>
      <c r="AN64" s="1103">
        <v>46103</v>
      </c>
      <c r="AO64" s="1102" t="s">
        <v>66</v>
      </c>
      <c r="AP64" s="1102" t="s">
        <v>427</v>
      </c>
      <c r="AQ64" s="1102" t="s">
        <v>161</v>
      </c>
      <c r="AR64" s="1102" t="s">
        <v>428</v>
      </c>
      <c r="AS64" s="1102" t="s">
        <v>429</v>
      </c>
      <c r="AT64" s="1102" t="s">
        <v>429</v>
      </c>
      <c r="AU64" s="1102">
        <v>63</v>
      </c>
      <c r="AW64" s="1103">
        <v>46103</v>
      </c>
      <c r="AX64" s="1102" t="s">
        <v>84</v>
      </c>
      <c r="AY64" s="1103">
        <v>46118</v>
      </c>
      <c r="AZ64" s="1102">
        <v>7</v>
      </c>
      <c r="BA64" s="1103">
        <v>46110</v>
      </c>
      <c r="BB64" s="1102">
        <v>2026</v>
      </c>
      <c r="BC64" s="1102">
        <v>3</v>
      </c>
      <c r="BD64" s="1102">
        <v>13</v>
      </c>
      <c r="BE64" s="1102">
        <v>36</v>
      </c>
      <c r="BF64" s="1102">
        <v>720</v>
      </c>
      <c r="BG64" s="1102" t="s">
        <v>128</v>
      </c>
      <c r="BH64" s="1102" t="s">
        <v>109</v>
      </c>
    </row>
    <row r="65" spans="1:60">
      <c r="A65" s="1102" t="s">
        <v>430</v>
      </c>
      <c r="B65" s="1102" t="s">
        <v>111</v>
      </c>
      <c r="C65" s="1102" t="s">
        <v>352</v>
      </c>
      <c r="D65" s="1102" t="s">
        <v>113</v>
      </c>
      <c r="E65" s="1102" t="s">
        <v>64</v>
      </c>
      <c r="F65" s="1102" t="s">
        <v>65</v>
      </c>
      <c r="G65" s="1102" t="s">
        <v>66</v>
      </c>
      <c r="H65" s="1102" t="s">
        <v>67</v>
      </c>
      <c r="I65" s="1102" t="s">
        <v>68</v>
      </c>
      <c r="J65" s="1102" t="s">
        <v>353</v>
      </c>
      <c r="K65" s="1102" t="s">
        <v>354</v>
      </c>
      <c r="M65" s="1102" t="s">
        <v>68</v>
      </c>
      <c r="N65" s="1102" t="s">
        <v>68</v>
      </c>
      <c r="O65" s="1102" t="s">
        <v>70</v>
      </c>
      <c r="P65" s="1102" t="s">
        <v>218</v>
      </c>
      <c r="Q65" s="1102" t="s">
        <v>219</v>
      </c>
      <c r="R65" s="1102" t="s">
        <v>73</v>
      </c>
      <c r="S65" s="1102" t="s">
        <v>120</v>
      </c>
      <c r="T65" s="1102">
        <v>625</v>
      </c>
      <c r="U65" s="1102">
        <v>2880</v>
      </c>
      <c r="V65" s="1102">
        <v>1.8</v>
      </c>
      <c r="W65" s="1102">
        <v>80</v>
      </c>
      <c r="X65" s="1102">
        <v>4</v>
      </c>
      <c r="Y65" s="1102" t="s">
        <v>75</v>
      </c>
      <c r="Z65" s="1102" t="s">
        <v>75</v>
      </c>
      <c r="AB65" s="1103">
        <v>46041</v>
      </c>
      <c r="AC65" s="1102">
        <v>4</v>
      </c>
      <c r="AD65" s="1102" t="s">
        <v>431</v>
      </c>
      <c r="AF65" s="1102" t="s">
        <v>122</v>
      </c>
      <c r="AG65" s="1102" t="s">
        <v>123</v>
      </c>
      <c r="AH65" s="1102" t="s">
        <v>356</v>
      </c>
      <c r="AI65" s="1103">
        <v>46047</v>
      </c>
      <c r="AJ65" s="1103">
        <v>46045</v>
      </c>
      <c r="AK65" s="1103">
        <v>46045</v>
      </c>
      <c r="AL65" s="1103">
        <v>46084</v>
      </c>
      <c r="AM65" s="1103">
        <v>46092</v>
      </c>
      <c r="AN65" s="1103">
        <v>46092</v>
      </c>
      <c r="AO65" s="1102" t="s">
        <v>66</v>
      </c>
      <c r="AP65" s="1102" t="s">
        <v>432</v>
      </c>
      <c r="AQ65" s="1102" t="s">
        <v>161</v>
      </c>
      <c r="AR65" s="1102" t="s">
        <v>433</v>
      </c>
      <c r="AS65" s="1102" t="s">
        <v>434</v>
      </c>
      <c r="AT65" s="1102" t="s">
        <v>434</v>
      </c>
      <c r="AU65" s="1102">
        <v>47</v>
      </c>
      <c r="AW65" s="1103">
        <v>46092</v>
      </c>
      <c r="AX65" s="1102" t="s">
        <v>84</v>
      </c>
      <c r="AY65" s="1103">
        <v>46105</v>
      </c>
      <c r="AZ65" s="1102">
        <v>8</v>
      </c>
      <c r="BA65" s="1103">
        <v>46100</v>
      </c>
      <c r="BB65" s="1102">
        <v>2026</v>
      </c>
      <c r="BC65" s="1102">
        <v>3</v>
      </c>
      <c r="BD65" s="1102">
        <v>12</v>
      </c>
      <c r="BE65" s="1102">
        <v>36</v>
      </c>
      <c r="BF65" s="1102">
        <v>720</v>
      </c>
      <c r="BG65" s="1102" t="s">
        <v>128</v>
      </c>
      <c r="BH65" s="1102" t="s">
        <v>109</v>
      </c>
    </row>
    <row r="66" spans="1:60">
      <c r="A66" s="1102" t="s">
        <v>435</v>
      </c>
      <c r="B66" s="1102" t="s">
        <v>111</v>
      </c>
      <c r="C66" s="1102" t="s">
        <v>352</v>
      </c>
      <c r="D66" s="1102" t="s">
        <v>113</v>
      </c>
      <c r="E66" s="1102" t="s">
        <v>64</v>
      </c>
      <c r="F66" s="1102" t="s">
        <v>65</v>
      </c>
      <c r="G66" s="1102" t="s">
        <v>66</v>
      </c>
      <c r="H66" s="1102" t="s">
        <v>67</v>
      </c>
      <c r="I66" s="1102" t="s">
        <v>68</v>
      </c>
      <c r="J66" s="1102" t="s">
        <v>353</v>
      </c>
      <c r="K66" s="1102" t="s">
        <v>354</v>
      </c>
      <c r="M66" s="1102" t="s">
        <v>68</v>
      </c>
      <c r="N66" s="1102" t="s">
        <v>68</v>
      </c>
      <c r="O66" s="1102" t="s">
        <v>70</v>
      </c>
      <c r="P66" s="1102" t="s">
        <v>218</v>
      </c>
      <c r="Q66" s="1102" t="s">
        <v>219</v>
      </c>
      <c r="R66" s="1102" t="s">
        <v>73</v>
      </c>
      <c r="S66" s="1102" t="s">
        <v>120</v>
      </c>
      <c r="T66" s="1102">
        <v>625</v>
      </c>
      <c r="U66" s="1102">
        <v>1440</v>
      </c>
      <c r="V66" s="1102">
        <v>0.9</v>
      </c>
      <c r="W66" s="1102">
        <v>40</v>
      </c>
      <c r="X66" s="1102">
        <v>2</v>
      </c>
      <c r="Y66" s="1102" t="s">
        <v>75</v>
      </c>
      <c r="Z66" s="1102" t="s">
        <v>75</v>
      </c>
      <c r="AB66" s="1103">
        <v>46041</v>
      </c>
      <c r="AC66" s="1102">
        <v>4</v>
      </c>
      <c r="AD66" s="1102" t="s">
        <v>436</v>
      </c>
      <c r="AF66" s="1102" t="s">
        <v>122</v>
      </c>
      <c r="AG66" s="1102" t="s">
        <v>123</v>
      </c>
      <c r="AH66" s="1102" t="s">
        <v>356</v>
      </c>
      <c r="AI66" s="1103">
        <v>46047</v>
      </c>
      <c r="AJ66" s="1103">
        <v>46045</v>
      </c>
      <c r="AK66" s="1103">
        <v>46045</v>
      </c>
      <c r="AL66" s="1103">
        <v>46084</v>
      </c>
      <c r="AM66" s="1103">
        <v>46092</v>
      </c>
      <c r="AN66" s="1103">
        <v>46092</v>
      </c>
      <c r="AO66" s="1102" t="s">
        <v>66</v>
      </c>
      <c r="AP66" s="1102" t="s">
        <v>432</v>
      </c>
      <c r="AQ66" s="1102" t="s">
        <v>161</v>
      </c>
      <c r="AR66" s="1102" t="s">
        <v>433</v>
      </c>
      <c r="AS66" s="1102" t="s">
        <v>434</v>
      </c>
      <c r="AT66" s="1102" t="s">
        <v>434</v>
      </c>
      <c r="AU66" s="1102">
        <v>47</v>
      </c>
      <c r="AW66" s="1103">
        <v>46092</v>
      </c>
      <c r="AX66" s="1102" t="s">
        <v>84</v>
      </c>
      <c r="AY66" s="1103">
        <v>46105</v>
      </c>
      <c r="AZ66" s="1102">
        <v>8</v>
      </c>
      <c r="BA66" s="1103">
        <v>46100</v>
      </c>
      <c r="BB66" s="1102">
        <v>2026</v>
      </c>
      <c r="BC66" s="1102">
        <v>3</v>
      </c>
      <c r="BD66" s="1102">
        <v>12</v>
      </c>
      <c r="BE66" s="1102">
        <v>36</v>
      </c>
      <c r="BF66" s="1102">
        <v>720</v>
      </c>
      <c r="BG66" s="1102" t="s">
        <v>128</v>
      </c>
      <c r="BH66" s="1102" t="s">
        <v>109</v>
      </c>
    </row>
    <row r="67" spans="1:60">
      <c r="A67" s="1102" t="s">
        <v>437</v>
      </c>
      <c r="B67" s="1102" t="s">
        <v>111</v>
      </c>
      <c r="C67" s="1102" t="s">
        <v>215</v>
      </c>
      <c r="D67" s="1102" t="s">
        <v>113</v>
      </c>
      <c r="E67" s="1102" t="s">
        <v>64</v>
      </c>
      <c r="F67" s="1102" t="s">
        <v>65</v>
      </c>
      <c r="G67" s="1102" t="s">
        <v>66</v>
      </c>
      <c r="H67" s="1102" t="s">
        <v>67</v>
      </c>
      <c r="I67" s="1102" t="s">
        <v>68</v>
      </c>
      <c r="J67" s="1102" t="s">
        <v>353</v>
      </c>
      <c r="K67" s="1102" t="s">
        <v>438</v>
      </c>
      <c r="M67" s="1102" t="s">
        <v>68</v>
      </c>
      <c r="N67" s="1102" t="s">
        <v>68</v>
      </c>
      <c r="O67" s="1102" t="s">
        <v>70</v>
      </c>
      <c r="P67" s="1102" t="s">
        <v>218</v>
      </c>
      <c r="Q67" s="1102" t="s">
        <v>219</v>
      </c>
      <c r="R67" s="1102" t="s">
        <v>73</v>
      </c>
      <c r="S67" s="1102" t="s">
        <v>120</v>
      </c>
      <c r="T67" s="1102">
        <v>625</v>
      </c>
      <c r="U67" s="1102">
        <v>2592</v>
      </c>
      <c r="V67" s="1102">
        <v>1.62</v>
      </c>
      <c r="W67" s="1102">
        <v>72</v>
      </c>
      <c r="X67" s="1102">
        <v>3.6</v>
      </c>
      <c r="Y67" s="1102" t="s">
        <v>75</v>
      </c>
      <c r="Z67" s="1102" t="s">
        <v>75</v>
      </c>
      <c r="AB67" s="1103">
        <v>46041</v>
      </c>
      <c r="AC67" s="1102">
        <v>4</v>
      </c>
      <c r="AD67" s="1102" t="s">
        <v>439</v>
      </c>
      <c r="AF67" s="1102" t="s">
        <v>122</v>
      </c>
      <c r="AG67" s="1102" t="s">
        <v>123</v>
      </c>
      <c r="AH67" s="1102" t="s">
        <v>356</v>
      </c>
      <c r="AI67" s="1103">
        <v>46047</v>
      </c>
      <c r="AJ67" s="1103">
        <v>46045</v>
      </c>
      <c r="AK67" s="1103">
        <v>46045</v>
      </c>
      <c r="AL67" s="1103">
        <v>46084</v>
      </c>
      <c r="AM67" s="1103">
        <v>46092</v>
      </c>
      <c r="AN67" s="1103">
        <v>46092</v>
      </c>
      <c r="AO67" s="1102" t="s">
        <v>66</v>
      </c>
      <c r="AP67" s="1102" t="s">
        <v>432</v>
      </c>
      <c r="AQ67" s="1102" t="s">
        <v>161</v>
      </c>
      <c r="AR67" s="1102" t="s">
        <v>433</v>
      </c>
      <c r="AS67" s="1102" t="s">
        <v>434</v>
      </c>
      <c r="AT67" s="1102" t="s">
        <v>434</v>
      </c>
      <c r="AU67" s="1102">
        <v>47</v>
      </c>
      <c r="AW67" s="1103">
        <v>46092</v>
      </c>
      <c r="AX67" s="1102" t="s">
        <v>84</v>
      </c>
      <c r="AY67" s="1103">
        <v>46105</v>
      </c>
      <c r="AZ67" s="1102">
        <v>8</v>
      </c>
      <c r="BA67" s="1103">
        <v>46100</v>
      </c>
      <c r="BB67" s="1102">
        <v>2026</v>
      </c>
      <c r="BC67" s="1102">
        <v>3</v>
      </c>
      <c r="BD67" s="1102">
        <v>12</v>
      </c>
      <c r="BE67" s="1102">
        <v>36</v>
      </c>
      <c r="BF67" s="1102">
        <v>720</v>
      </c>
      <c r="BG67" s="1102" t="s">
        <v>128</v>
      </c>
      <c r="BH67" s="1102" t="s">
        <v>109</v>
      </c>
    </row>
    <row r="68" spans="1:60">
      <c r="A68" s="1102" t="s">
        <v>440</v>
      </c>
      <c r="B68" s="1102" t="s">
        <v>111</v>
      </c>
      <c r="C68" s="1102" t="s">
        <v>352</v>
      </c>
      <c r="D68" s="1102" t="s">
        <v>113</v>
      </c>
      <c r="E68" s="1102" t="s">
        <v>64</v>
      </c>
      <c r="F68" s="1102" t="s">
        <v>65</v>
      </c>
      <c r="G68" s="1102" t="s">
        <v>66</v>
      </c>
      <c r="H68" s="1102" t="s">
        <v>67</v>
      </c>
      <c r="I68" s="1102" t="s">
        <v>68</v>
      </c>
      <c r="J68" s="1102" t="s">
        <v>353</v>
      </c>
      <c r="K68" s="1102" t="s">
        <v>438</v>
      </c>
      <c r="M68" s="1102" t="s">
        <v>68</v>
      </c>
      <c r="N68" s="1102" t="s">
        <v>68</v>
      </c>
      <c r="O68" s="1102" t="s">
        <v>70</v>
      </c>
      <c r="P68" s="1102" t="s">
        <v>218</v>
      </c>
      <c r="Q68" s="1102" t="s">
        <v>219</v>
      </c>
      <c r="R68" s="1102" t="s">
        <v>73</v>
      </c>
      <c r="S68" s="1102" t="s">
        <v>120</v>
      </c>
      <c r="T68" s="1102">
        <v>625</v>
      </c>
      <c r="U68" s="1102">
        <v>72</v>
      </c>
      <c r="V68" s="1102">
        <v>4.4999999999999998E-2</v>
      </c>
      <c r="W68" s="1102">
        <v>2</v>
      </c>
      <c r="X68" s="1102">
        <v>0.1</v>
      </c>
      <c r="Y68" s="1102" t="s">
        <v>75</v>
      </c>
      <c r="Z68" s="1102" t="s">
        <v>75</v>
      </c>
      <c r="AB68" s="1103">
        <v>46041</v>
      </c>
      <c r="AC68" s="1102">
        <v>4</v>
      </c>
      <c r="AD68" s="1102" t="s">
        <v>441</v>
      </c>
      <c r="AF68" s="1102" t="s">
        <v>122</v>
      </c>
      <c r="AG68" s="1102" t="s">
        <v>123</v>
      </c>
      <c r="AH68" s="1102" t="s">
        <v>356</v>
      </c>
      <c r="AI68" s="1103">
        <v>45682</v>
      </c>
      <c r="AJ68" s="1103">
        <v>46045</v>
      </c>
      <c r="AK68" s="1103">
        <v>46045</v>
      </c>
      <c r="AL68" s="1103">
        <v>46084</v>
      </c>
      <c r="AM68" s="1103">
        <v>46092</v>
      </c>
      <c r="AN68" s="1103">
        <v>46092</v>
      </c>
      <c r="AO68" s="1102" t="s">
        <v>66</v>
      </c>
      <c r="AP68" s="1102" t="s">
        <v>442</v>
      </c>
      <c r="AQ68" s="1102" t="s">
        <v>161</v>
      </c>
      <c r="AR68" s="1102" t="s">
        <v>433</v>
      </c>
      <c r="AS68" s="1102" t="s">
        <v>434</v>
      </c>
      <c r="AT68" s="1102" t="s">
        <v>434</v>
      </c>
      <c r="AU68" s="1102">
        <v>47</v>
      </c>
      <c r="AW68" s="1103">
        <v>46092</v>
      </c>
      <c r="AX68" s="1102" t="s">
        <v>84</v>
      </c>
      <c r="AY68" s="1103">
        <v>46105</v>
      </c>
      <c r="AZ68" s="1102">
        <v>8</v>
      </c>
      <c r="BA68" s="1103">
        <v>46100</v>
      </c>
      <c r="BB68" s="1102">
        <v>2026</v>
      </c>
      <c r="BC68" s="1102">
        <v>3</v>
      </c>
      <c r="BD68" s="1102">
        <v>12</v>
      </c>
      <c r="BE68" s="1102">
        <v>36</v>
      </c>
      <c r="BF68" s="1102">
        <v>720</v>
      </c>
      <c r="BG68" s="1102" t="s">
        <v>128</v>
      </c>
      <c r="BH68" s="1102" t="s">
        <v>109</v>
      </c>
    </row>
    <row r="69" spans="1:60">
      <c r="A69" s="1102" t="s">
        <v>443</v>
      </c>
      <c r="B69" s="1102" t="s">
        <v>111</v>
      </c>
      <c r="C69" s="1102" t="s">
        <v>376</v>
      </c>
      <c r="D69" s="1102" t="s">
        <v>113</v>
      </c>
      <c r="E69" s="1102" t="s">
        <v>64</v>
      </c>
      <c r="F69" s="1102" t="s">
        <v>65</v>
      </c>
      <c r="G69" s="1102" t="s">
        <v>66</v>
      </c>
      <c r="H69" s="1102" t="s">
        <v>67</v>
      </c>
      <c r="I69" s="1102" t="s">
        <v>68</v>
      </c>
      <c r="J69" s="1102" t="s">
        <v>377</v>
      </c>
      <c r="K69" s="1102" t="s">
        <v>328</v>
      </c>
      <c r="M69" s="1102" t="s">
        <v>68</v>
      </c>
      <c r="N69" s="1102" t="s">
        <v>68</v>
      </c>
      <c r="O69" s="1102" t="s">
        <v>70</v>
      </c>
      <c r="P69" s="1102" t="s">
        <v>378</v>
      </c>
      <c r="Q69" s="1102" t="s">
        <v>379</v>
      </c>
      <c r="R69" s="1102" t="s">
        <v>73</v>
      </c>
      <c r="S69" s="1102" t="s">
        <v>120</v>
      </c>
      <c r="T69" s="1102">
        <v>620</v>
      </c>
      <c r="U69" s="1102">
        <v>216</v>
      </c>
      <c r="V69" s="1102">
        <v>0.13400000000000001</v>
      </c>
      <c r="W69" s="1102">
        <v>6</v>
      </c>
      <c r="X69" s="1102">
        <v>0.3</v>
      </c>
      <c r="Y69" s="1102" t="s">
        <v>75</v>
      </c>
      <c r="Z69" s="1102" t="s">
        <v>75</v>
      </c>
      <c r="AB69" s="1103">
        <v>46041</v>
      </c>
      <c r="AC69" s="1102">
        <v>4</v>
      </c>
      <c r="AD69" s="1102" t="s">
        <v>444</v>
      </c>
      <c r="AF69" s="1102" t="s">
        <v>122</v>
      </c>
      <c r="AG69" s="1102" t="s">
        <v>123</v>
      </c>
      <c r="AH69" s="1102" t="s">
        <v>356</v>
      </c>
      <c r="AI69" s="1103">
        <v>45682</v>
      </c>
      <c r="AJ69" s="1103">
        <v>46045</v>
      </c>
      <c r="AK69" s="1103">
        <v>46045</v>
      </c>
      <c r="AL69" s="1103">
        <v>46084</v>
      </c>
      <c r="AM69" s="1103">
        <v>46092</v>
      </c>
      <c r="AN69" s="1103">
        <v>46092</v>
      </c>
      <c r="AO69" s="1102" t="s">
        <v>66</v>
      </c>
      <c r="AP69" s="1102" t="s">
        <v>442</v>
      </c>
      <c r="AQ69" s="1102" t="s">
        <v>161</v>
      </c>
      <c r="AR69" s="1102" t="s">
        <v>433</v>
      </c>
      <c r="AS69" s="1102" t="s">
        <v>434</v>
      </c>
      <c r="AT69" s="1102" t="s">
        <v>434</v>
      </c>
      <c r="AU69" s="1102">
        <v>47</v>
      </c>
      <c r="AW69" s="1103">
        <v>46092</v>
      </c>
      <c r="AX69" s="1102" t="s">
        <v>84</v>
      </c>
      <c r="AY69" s="1103">
        <v>46105</v>
      </c>
      <c r="AZ69" s="1102">
        <v>8</v>
      </c>
      <c r="BA69" s="1103">
        <v>46100</v>
      </c>
      <c r="BB69" s="1102">
        <v>2026</v>
      </c>
      <c r="BC69" s="1102">
        <v>3</v>
      </c>
      <c r="BD69" s="1102">
        <v>12</v>
      </c>
      <c r="BE69" s="1102">
        <v>36</v>
      </c>
      <c r="BF69" s="1102">
        <v>720</v>
      </c>
      <c r="BG69" s="1102" t="s">
        <v>128</v>
      </c>
      <c r="BH69" s="1102" t="s">
        <v>109</v>
      </c>
    </row>
    <row r="70" spans="1:60">
      <c r="A70" s="1102" t="s">
        <v>352</v>
      </c>
      <c r="B70" s="1102" t="s">
        <v>111</v>
      </c>
      <c r="C70" s="1102" t="s">
        <v>203</v>
      </c>
      <c r="D70" s="1102" t="s">
        <v>113</v>
      </c>
      <c r="E70" s="1102" t="s">
        <v>64</v>
      </c>
      <c r="F70" s="1102" t="s">
        <v>65</v>
      </c>
      <c r="G70" s="1102" t="s">
        <v>66</v>
      </c>
      <c r="H70" s="1102" t="s">
        <v>67</v>
      </c>
      <c r="I70" s="1102" t="s">
        <v>68</v>
      </c>
      <c r="J70" s="1102" t="s">
        <v>353</v>
      </c>
      <c r="K70" s="1102" t="s">
        <v>438</v>
      </c>
      <c r="M70" s="1102" t="s">
        <v>68</v>
      </c>
      <c r="N70" s="1102" t="s">
        <v>68</v>
      </c>
      <c r="O70" s="1102" t="s">
        <v>70</v>
      </c>
      <c r="P70" s="1102" t="s">
        <v>218</v>
      </c>
      <c r="Q70" s="1102" t="s">
        <v>219</v>
      </c>
      <c r="R70" s="1102" t="s">
        <v>73</v>
      </c>
      <c r="S70" s="1102" t="s">
        <v>120</v>
      </c>
      <c r="T70" s="1102">
        <v>625</v>
      </c>
      <c r="U70" s="1102">
        <v>720</v>
      </c>
      <c r="V70" s="1102">
        <v>0.45</v>
      </c>
      <c r="W70" s="1102">
        <v>20</v>
      </c>
      <c r="X70" s="1102">
        <v>1</v>
      </c>
      <c r="Y70" s="1102" t="s">
        <v>75</v>
      </c>
      <c r="Z70" s="1102" t="s">
        <v>75</v>
      </c>
      <c r="AB70" s="1103">
        <v>46041</v>
      </c>
      <c r="AC70" s="1102">
        <v>4</v>
      </c>
      <c r="AD70" s="1102" t="s">
        <v>445</v>
      </c>
      <c r="AF70" s="1102" t="s">
        <v>122</v>
      </c>
      <c r="AG70" s="1102" t="s">
        <v>123</v>
      </c>
      <c r="AH70" s="1102" t="s">
        <v>356</v>
      </c>
      <c r="AI70" s="1103">
        <v>45682</v>
      </c>
      <c r="AJ70" s="1103">
        <v>46045</v>
      </c>
      <c r="AK70" s="1103">
        <v>46045</v>
      </c>
      <c r="AL70" s="1103">
        <v>46084</v>
      </c>
      <c r="AM70" s="1103">
        <v>46086</v>
      </c>
      <c r="AN70" s="1103">
        <v>46086</v>
      </c>
      <c r="AO70" s="1102" t="s">
        <v>66</v>
      </c>
      <c r="AP70" s="1102" t="s">
        <v>442</v>
      </c>
      <c r="AQ70" s="1102" t="s">
        <v>80</v>
      </c>
      <c r="AR70" s="1102" t="s">
        <v>446</v>
      </c>
      <c r="AS70" s="1102" t="s">
        <v>447</v>
      </c>
      <c r="AT70" s="1102" t="s">
        <v>447</v>
      </c>
      <c r="AU70" s="1102">
        <v>41</v>
      </c>
      <c r="AW70" s="1103">
        <v>46086</v>
      </c>
      <c r="AX70" s="1102" t="s">
        <v>84</v>
      </c>
      <c r="AY70" s="1103">
        <v>46099</v>
      </c>
      <c r="AZ70" s="1102">
        <v>8</v>
      </c>
      <c r="BA70" s="1103">
        <v>46094</v>
      </c>
      <c r="BB70" s="1102">
        <v>2026</v>
      </c>
      <c r="BC70" s="1102">
        <v>3</v>
      </c>
      <c r="BD70" s="1102">
        <v>11</v>
      </c>
      <c r="BE70" s="1102">
        <v>36</v>
      </c>
      <c r="BF70" s="1102">
        <v>720</v>
      </c>
      <c r="BG70" s="1102" t="s">
        <v>128</v>
      </c>
      <c r="BH70" s="1102" t="s">
        <v>109</v>
      </c>
    </row>
    <row r="71" spans="1:60">
      <c r="A71" s="1102" t="s">
        <v>448</v>
      </c>
      <c r="B71" s="1102" t="s">
        <v>111</v>
      </c>
      <c r="C71" s="1102" t="s">
        <v>449</v>
      </c>
      <c r="D71" s="1102" t="s">
        <v>63</v>
      </c>
      <c r="E71" s="1102" t="s">
        <v>64</v>
      </c>
      <c r="F71" s="1102" t="s">
        <v>450</v>
      </c>
      <c r="G71" s="1102" t="s">
        <v>66</v>
      </c>
      <c r="H71" s="1102" t="s">
        <v>451</v>
      </c>
      <c r="I71" s="1102" t="s">
        <v>68</v>
      </c>
      <c r="J71" s="1102" t="s">
        <v>452</v>
      </c>
      <c r="K71" s="1102">
        <v>20519249</v>
      </c>
      <c r="M71" s="1102" t="s">
        <v>68</v>
      </c>
      <c r="N71" s="1102" t="s">
        <v>68</v>
      </c>
      <c r="O71" s="1102" t="s">
        <v>132</v>
      </c>
      <c r="P71" s="1102" t="s">
        <v>453</v>
      </c>
      <c r="Q71" s="1102" t="s">
        <v>454</v>
      </c>
      <c r="R71" s="1102" t="s">
        <v>73</v>
      </c>
      <c r="S71" s="1102" t="s">
        <v>74</v>
      </c>
      <c r="T71" s="1102">
        <v>460</v>
      </c>
      <c r="U71" s="1102">
        <v>1728</v>
      </c>
      <c r="V71" s="1102">
        <v>0.79500000000000004</v>
      </c>
      <c r="W71" s="1102">
        <v>48</v>
      </c>
      <c r="X71" s="1102">
        <v>2</v>
      </c>
      <c r="Y71" s="1102" t="s">
        <v>75</v>
      </c>
      <c r="Z71" s="1102" t="s">
        <v>75</v>
      </c>
      <c r="AB71" s="1103">
        <v>46042</v>
      </c>
      <c r="AC71" s="1102">
        <v>4</v>
      </c>
      <c r="AD71" s="1102" t="s">
        <v>455</v>
      </c>
      <c r="AF71" s="1102" t="s">
        <v>122</v>
      </c>
      <c r="AG71" s="1102" t="s">
        <v>123</v>
      </c>
      <c r="AH71" s="1102" t="s">
        <v>456</v>
      </c>
      <c r="AI71" s="1103">
        <v>46050</v>
      </c>
      <c r="AJ71" s="1103">
        <v>46053</v>
      </c>
      <c r="AK71" s="1103">
        <v>46053</v>
      </c>
      <c r="AL71" s="1103">
        <v>46089</v>
      </c>
      <c r="AM71" s="1103">
        <v>46108</v>
      </c>
      <c r="AN71" s="1103">
        <v>46108</v>
      </c>
      <c r="AO71" s="1102" t="s">
        <v>66</v>
      </c>
      <c r="AP71" s="1102" t="s">
        <v>457</v>
      </c>
      <c r="AQ71" s="1102" t="s">
        <v>80</v>
      </c>
      <c r="AR71" s="1102" t="s">
        <v>458</v>
      </c>
      <c r="AS71" s="1102" t="s">
        <v>459</v>
      </c>
      <c r="AT71" s="1102" t="s">
        <v>459</v>
      </c>
      <c r="AU71" s="1102">
        <v>55</v>
      </c>
      <c r="AW71" s="1103">
        <v>46108</v>
      </c>
      <c r="AX71" s="1102" t="s">
        <v>84</v>
      </c>
      <c r="AY71" s="1103">
        <v>46120</v>
      </c>
      <c r="AZ71" s="1102">
        <v>7</v>
      </c>
      <c r="BA71" s="1103">
        <v>46115</v>
      </c>
      <c r="BB71" s="1102">
        <v>2026</v>
      </c>
      <c r="BC71" s="1102">
        <v>4</v>
      </c>
      <c r="BD71" s="1102">
        <v>14</v>
      </c>
      <c r="BE71" s="1102">
        <v>36</v>
      </c>
      <c r="BF71" s="1102">
        <v>864</v>
      </c>
      <c r="BG71" s="1102" t="s">
        <v>108</v>
      </c>
      <c r="BH71" s="1102" t="s">
        <v>109</v>
      </c>
    </row>
    <row r="72" spans="1:60">
      <c r="A72" s="1102" t="s">
        <v>460</v>
      </c>
      <c r="B72" s="1102" t="s">
        <v>111</v>
      </c>
      <c r="C72" s="1102" t="s">
        <v>461</v>
      </c>
      <c r="D72" s="1102" t="s">
        <v>63</v>
      </c>
      <c r="E72" s="1102" t="s">
        <v>64</v>
      </c>
      <c r="F72" s="1102" t="s">
        <v>65</v>
      </c>
      <c r="G72" s="1102" t="s">
        <v>66</v>
      </c>
      <c r="H72" s="1102" t="s">
        <v>67</v>
      </c>
      <c r="I72" s="1102" t="s">
        <v>68</v>
      </c>
      <c r="J72" s="1102" t="s">
        <v>232</v>
      </c>
      <c r="M72" s="1102" t="s">
        <v>68</v>
      </c>
      <c r="N72" s="1102" t="s">
        <v>68</v>
      </c>
      <c r="O72" s="1102" t="s">
        <v>170</v>
      </c>
      <c r="P72" s="1102" t="s">
        <v>462</v>
      </c>
      <c r="Q72" s="1102" t="s">
        <v>463</v>
      </c>
      <c r="R72" s="1102" t="s">
        <v>73</v>
      </c>
      <c r="S72" s="1102" t="s">
        <v>464</v>
      </c>
      <c r="T72" s="1102">
        <v>550</v>
      </c>
      <c r="U72" s="1102">
        <v>660</v>
      </c>
      <c r="V72" s="1102">
        <v>0.36299999999999999</v>
      </c>
      <c r="W72" s="1102">
        <v>20</v>
      </c>
      <c r="X72" s="1102">
        <v>1</v>
      </c>
      <c r="Y72" s="1102" t="s">
        <v>75</v>
      </c>
      <c r="Z72" s="1102" t="s">
        <v>75</v>
      </c>
      <c r="AB72" s="1103">
        <v>46044</v>
      </c>
      <c r="AC72" s="1102">
        <v>4</v>
      </c>
      <c r="AD72" s="1102" t="s">
        <v>465</v>
      </c>
      <c r="AF72" s="1102" t="s">
        <v>122</v>
      </c>
      <c r="AG72" s="1102" t="s">
        <v>123</v>
      </c>
      <c r="AH72" s="1102" t="s">
        <v>78</v>
      </c>
      <c r="AI72" s="1103">
        <v>46049</v>
      </c>
      <c r="AJ72" s="1103">
        <v>46055</v>
      </c>
      <c r="AK72" s="1103">
        <v>46056</v>
      </c>
      <c r="AL72" s="1103">
        <v>46098</v>
      </c>
      <c r="AM72" s="1103">
        <v>46101</v>
      </c>
      <c r="AN72" s="1103">
        <v>46103</v>
      </c>
      <c r="AO72" s="1102" t="s">
        <v>66</v>
      </c>
      <c r="AP72" s="1102" t="s">
        <v>466</v>
      </c>
      <c r="AQ72" s="1102" t="s">
        <v>80</v>
      </c>
      <c r="AR72" s="1102" t="s">
        <v>467</v>
      </c>
      <c r="AS72" s="1102" t="s">
        <v>468</v>
      </c>
      <c r="AT72" s="1102" t="s">
        <v>468</v>
      </c>
      <c r="AU72" s="1102">
        <v>47</v>
      </c>
      <c r="AW72" s="1103">
        <v>46103</v>
      </c>
      <c r="AX72" s="1102" t="s">
        <v>84</v>
      </c>
      <c r="AY72" s="1103">
        <v>46115</v>
      </c>
      <c r="AZ72" s="1102">
        <v>8</v>
      </c>
      <c r="BA72" s="1103">
        <v>46111</v>
      </c>
      <c r="BB72" s="1102">
        <v>2026</v>
      </c>
      <c r="BC72" s="1102">
        <v>3</v>
      </c>
      <c r="BD72" s="1102">
        <v>14</v>
      </c>
      <c r="BE72" s="1102">
        <v>33</v>
      </c>
      <c r="BF72" s="1102">
        <v>660</v>
      </c>
      <c r="BG72" s="1102" t="s">
        <v>108</v>
      </c>
      <c r="BH72" s="1102" t="s">
        <v>86</v>
      </c>
    </row>
    <row r="73" spans="1:60">
      <c r="A73" s="1102" t="s">
        <v>469</v>
      </c>
      <c r="B73" s="1102" t="s">
        <v>111</v>
      </c>
      <c r="C73" s="1102" t="s">
        <v>461</v>
      </c>
      <c r="D73" s="1102" t="s">
        <v>63</v>
      </c>
      <c r="E73" s="1102" t="s">
        <v>64</v>
      </c>
      <c r="F73" s="1102" t="s">
        <v>65</v>
      </c>
      <c r="G73" s="1102" t="s">
        <v>66</v>
      </c>
      <c r="H73" s="1102" t="s">
        <v>67</v>
      </c>
      <c r="I73" s="1102" t="s">
        <v>68</v>
      </c>
      <c r="J73" s="1102" t="s">
        <v>232</v>
      </c>
      <c r="M73" s="1102" t="s">
        <v>68</v>
      </c>
      <c r="N73" s="1102" t="s">
        <v>68</v>
      </c>
      <c r="O73" s="1102" t="s">
        <v>170</v>
      </c>
      <c r="P73" s="1102" t="s">
        <v>462</v>
      </c>
      <c r="Q73" s="1102" t="s">
        <v>463</v>
      </c>
      <c r="R73" s="1102" t="s">
        <v>73</v>
      </c>
      <c r="S73" s="1102" t="s">
        <v>464</v>
      </c>
      <c r="T73" s="1102">
        <v>550</v>
      </c>
      <c r="U73" s="1102">
        <v>1320</v>
      </c>
      <c r="V73" s="1102">
        <v>0.72599999999999998</v>
      </c>
      <c r="W73" s="1102">
        <v>40</v>
      </c>
      <c r="X73" s="1102">
        <v>2</v>
      </c>
      <c r="Y73" s="1102" t="s">
        <v>75</v>
      </c>
      <c r="Z73" s="1102" t="s">
        <v>75</v>
      </c>
      <c r="AB73" s="1103">
        <v>46044</v>
      </c>
      <c r="AC73" s="1102">
        <v>4</v>
      </c>
      <c r="AD73" s="1102" t="s">
        <v>470</v>
      </c>
      <c r="AF73" s="1102" t="s">
        <v>122</v>
      </c>
      <c r="AG73" s="1102" t="s">
        <v>123</v>
      </c>
      <c r="AH73" s="1102" t="s">
        <v>78</v>
      </c>
      <c r="AI73" s="1103">
        <v>46049</v>
      </c>
      <c r="AJ73" s="1103">
        <v>46055</v>
      </c>
      <c r="AK73" s="1103">
        <v>46056</v>
      </c>
      <c r="AL73" s="1103">
        <v>46098</v>
      </c>
      <c r="AM73" s="1103">
        <v>46101</v>
      </c>
      <c r="AN73" s="1103">
        <v>46103</v>
      </c>
      <c r="AO73" s="1102" t="s">
        <v>66</v>
      </c>
      <c r="AP73" s="1102" t="s">
        <v>466</v>
      </c>
      <c r="AQ73" s="1102" t="s">
        <v>80</v>
      </c>
      <c r="AR73" s="1102" t="s">
        <v>467</v>
      </c>
      <c r="AS73" s="1102" t="s">
        <v>468</v>
      </c>
      <c r="AT73" s="1102" t="s">
        <v>468</v>
      </c>
      <c r="AU73" s="1102">
        <v>47</v>
      </c>
      <c r="AW73" s="1103">
        <v>46103</v>
      </c>
      <c r="AX73" s="1102" t="s">
        <v>84</v>
      </c>
      <c r="AY73" s="1103">
        <v>46115</v>
      </c>
      <c r="AZ73" s="1102">
        <v>8</v>
      </c>
      <c r="BA73" s="1103">
        <v>46111</v>
      </c>
      <c r="BB73" s="1102">
        <v>2026</v>
      </c>
      <c r="BC73" s="1102">
        <v>3</v>
      </c>
      <c r="BD73" s="1102">
        <v>14</v>
      </c>
      <c r="BE73" s="1102">
        <v>33</v>
      </c>
      <c r="BF73" s="1102">
        <v>660</v>
      </c>
      <c r="BG73" s="1102" t="s">
        <v>108</v>
      </c>
      <c r="BH73" s="1102" t="s">
        <v>86</v>
      </c>
    </row>
    <row r="74" spans="1:60">
      <c r="A74" s="1102" t="s">
        <v>471</v>
      </c>
      <c r="B74" s="1102" t="s">
        <v>111</v>
      </c>
      <c r="C74" s="1102" t="s">
        <v>472</v>
      </c>
      <c r="D74" s="1102" t="s">
        <v>63</v>
      </c>
      <c r="E74" s="1102" t="s">
        <v>64</v>
      </c>
      <c r="F74" s="1102" t="s">
        <v>65</v>
      </c>
      <c r="G74" s="1102" t="s">
        <v>66</v>
      </c>
      <c r="H74" s="1102" t="s">
        <v>67</v>
      </c>
      <c r="I74" s="1102" t="s">
        <v>68</v>
      </c>
      <c r="J74" s="1102" t="s">
        <v>232</v>
      </c>
      <c r="M74" s="1102" t="s">
        <v>68</v>
      </c>
      <c r="N74" s="1102" t="s">
        <v>68</v>
      </c>
      <c r="O74" s="1102" t="s">
        <v>473</v>
      </c>
      <c r="P74" s="1102" t="s">
        <v>474</v>
      </c>
      <c r="Q74" s="1102" t="s">
        <v>475</v>
      </c>
      <c r="R74" s="1102" t="s">
        <v>73</v>
      </c>
      <c r="S74" s="1102" t="s">
        <v>74</v>
      </c>
      <c r="T74" s="1102">
        <v>460</v>
      </c>
      <c r="U74" s="1102">
        <v>2592</v>
      </c>
      <c r="V74" s="1102">
        <v>1.1919999999999999</v>
      </c>
      <c r="W74" s="1102">
        <v>72</v>
      </c>
      <c r="X74" s="1102">
        <v>3</v>
      </c>
      <c r="Y74" s="1102" t="s">
        <v>75</v>
      </c>
      <c r="Z74" s="1102" t="s">
        <v>75</v>
      </c>
      <c r="AB74" s="1103">
        <v>46044</v>
      </c>
      <c r="AC74" s="1102">
        <v>4</v>
      </c>
      <c r="AD74" s="1102" t="s">
        <v>476</v>
      </c>
      <c r="AF74" s="1102" t="s">
        <v>122</v>
      </c>
      <c r="AG74" s="1102" t="s">
        <v>123</v>
      </c>
      <c r="AH74" s="1102" t="s">
        <v>78</v>
      </c>
      <c r="AI74" s="1103">
        <v>46049</v>
      </c>
      <c r="AJ74" s="1103">
        <v>46055</v>
      </c>
      <c r="AK74" s="1103">
        <v>46056</v>
      </c>
      <c r="AL74" s="1103">
        <v>46098</v>
      </c>
      <c r="AM74" s="1103">
        <v>46101</v>
      </c>
      <c r="AN74" s="1103">
        <v>46103</v>
      </c>
      <c r="AO74" s="1102" t="s">
        <v>66</v>
      </c>
      <c r="AP74" s="1102" t="s">
        <v>466</v>
      </c>
      <c r="AQ74" s="1102" t="s">
        <v>80</v>
      </c>
      <c r="AR74" s="1102" t="s">
        <v>467</v>
      </c>
      <c r="AS74" s="1102" t="s">
        <v>468</v>
      </c>
      <c r="AT74" s="1102" t="s">
        <v>468</v>
      </c>
      <c r="AU74" s="1102">
        <v>47</v>
      </c>
      <c r="AW74" s="1103">
        <v>46103</v>
      </c>
      <c r="AX74" s="1102" t="s">
        <v>84</v>
      </c>
      <c r="AY74" s="1103">
        <v>46115</v>
      </c>
      <c r="AZ74" s="1102">
        <v>8</v>
      </c>
      <c r="BA74" s="1103">
        <v>46111</v>
      </c>
      <c r="BB74" s="1102">
        <v>2026</v>
      </c>
      <c r="BC74" s="1102">
        <v>3</v>
      </c>
      <c r="BD74" s="1102">
        <v>14</v>
      </c>
      <c r="BE74" s="1102">
        <v>36</v>
      </c>
      <c r="BF74" s="1102">
        <v>864</v>
      </c>
      <c r="BG74" s="1102" t="s">
        <v>85</v>
      </c>
      <c r="BH74" s="1102" t="s">
        <v>86</v>
      </c>
    </row>
    <row r="75" spans="1:60">
      <c r="A75" s="1102" t="s">
        <v>477</v>
      </c>
      <c r="B75" s="1102" t="s">
        <v>111</v>
      </c>
      <c r="C75" s="1102" t="s">
        <v>461</v>
      </c>
      <c r="D75" s="1102" t="s">
        <v>63</v>
      </c>
      <c r="E75" s="1102" t="s">
        <v>64</v>
      </c>
      <c r="F75" s="1102" t="s">
        <v>65</v>
      </c>
      <c r="G75" s="1102" t="s">
        <v>66</v>
      </c>
      <c r="H75" s="1102" t="s">
        <v>67</v>
      </c>
      <c r="I75" s="1102" t="s">
        <v>68</v>
      </c>
      <c r="J75" s="1102" t="s">
        <v>232</v>
      </c>
      <c r="M75" s="1102" t="s">
        <v>68</v>
      </c>
      <c r="N75" s="1102" t="s">
        <v>68</v>
      </c>
      <c r="O75" s="1102" t="s">
        <v>170</v>
      </c>
      <c r="P75" s="1102" t="s">
        <v>462</v>
      </c>
      <c r="Q75" s="1102" t="s">
        <v>463</v>
      </c>
      <c r="R75" s="1102" t="s">
        <v>73</v>
      </c>
      <c r="S75" s="1102" t="s">
        <v>464</v>
      </c>
      <c r="T75" s="1102">
        <v>550</v>
      </c>
      <c r="U75" s="1102">
        <v>660</v>
      </c>
      <c r="V75" s="1102">
        <v>0.36299999999999999</v>
      </c>
      <c r="W75" s="1102">
        <v>20</v>
      </c>
      <c r="X75" s="1102">
        <v>1</v>
      </c>
      <c r="Y75" s="1102" t="s">
        <v>75</v>
      </c>
      <c r="Z75" s="1102" t="s">
        <v>75</v>
      </c>
      <c r="AB75" s="1103">
        <v>46040</v>
      </c>
      <c r="AC75" s="1102">
        <v>3</v>
      </c>
      <c r="AD75" s="1102" t="s">
        <v>478</v>
      </c>
      <c r="AF75" s="1102" t="s">
        <v>122</v>
      </c>
      <c r="AG75" s="1102" t="s">
        <v>123</v>
      </c>
      <c r="AH75" s="1102" t="s">
        <v>78</v>
      </c>
      <c r="AI75" s="1103">
        <v>46045</v>
      </c>
      <c r="AJ75" s="1103">
        <v>46047</v>
      </c>
      <c r="AK75" s="1103">
        <v>46047</v>
      </c>
      <c r="AL75" s="1103">
        <v>46097</v>
      </c>
      <c r="AM75" s="1103">
        <v>46111</v>
      </c>
      <c r="AN75" s="1103">
        <v>46111</v>
      </c>
      <c r="AO75" s="1102" t="s">
        <v>66</v>
      </c>
      <c r="AP75" s="1102" t="s">
        <v>479</v>
      </c>
      <c r="AQ75" s="1102" t="s">
        <v>80</v>
      </c>
      <c r="AR75" s="1102" t="s">
        <v>480</v>
      </c>
      <c r="AS75" s="1102" t="s">
        <v>481</v>
      </c>
      <c r="AT75" s="1102" t="s">
        <v>481</v>
      </c>
      <c r="AU75" s="1102">
        <v>64</v>
      </c>
      <c r="AW75" s="1103">
        <v>46111</v>
      </c>
      <c r="AX75" s="1102" t="s">
        <v>84</v>
      </c>
      <c r="AY75" s="1103">
        <v>46120</v>
      </c>
      <c r="AZ75" s="1102">
        <v>8</v>
      </c>
      <c r="BA75" s="1103">
        <v>46119</v>
      </c>
      <c r="BB75" s="1102">
        <v>2026</v>
      </c>
      <c r="BC75" s="1102">
        <v>4</v>
      </c>
      <c r="BD75" s="1102">
        <v>15</v>
      </c>
      <c r="BE75" s="1102">
        <v>33</v>
      </c>
      <c r="BF75" s="1102">
        <v>660</v>
      </c>
      <c r="BG75" s="1102" t="s">
        <v>108</v>
      </c>
      <c r="BH75" s="1102" t="s">
        <v>86</v>
      </c>
    </row>
    <row r="76" spans="1:60">
      <c r="A76" s="1102" t="s">
        <v>482</v>
      </c>
      <c r="B76" s="1102" t="s">
        <v>111</v>
      </c>
      <c r="C76" s="1102" t="s">
        <v>387</v>
      </c>
      <c r="D76" s="1102" t="s">
        <v>63</v>
      </c>
      <c r="E76" s="1102" t="s">
        <v>64</v>
      </c>
      <c r="F76" s="1102" t="s">
        <v>100</v>
      </c>
      <c r="G76" s="1102" t="s">
        <v>66</v>
      </c>
      <c r="H76" s="1102" t="s">
        <v>67</v>
      </c>
      <c r="I76" s="1102" t="s">
        <v>68</v>
      </c>
      <c r="J76" s="1102" t="s">
        <v>483</v>
      </c>
      <c r="M76" s="1102" t="s">
        <v>68</v>
      </c>
      <c r="N76" s="1102" t="s">
        <v>68</v>
      </c>
      <c r="O76" s="1102" t="s">
        <v>132</v>
      </c>
      <c r="P76" s="1102" t="s">
        <v>189</v>
      </c>
      <c r="Q76" s="1102" t="s">
        <v>190</v>
      </c>
      <c r="R76" s="1102" t="s">
        <v>73</v>
      </c>
      <c r="S76" s="1102" t="s">
        <v>74</v>
      </c>
      <c r="T76" s="1102">
        <v>465</v>
      </c>
      <c r="U76" s="1102">
        <v>864</v>
      </c>
      <c r="V76" s="1102">
        <v>0.40200000000000002</v>
      </c>
      <c r="W76" s="1102">
        <v>24</v>
      </c>
      <c r="X76" s="1102">
        <v>1</v>
      </c>
      <c r="Y76" s="1102" t="s">
        <v>75</v>
      </c>
      <c r="Z76" s="1102" t="s">
        <v>75</v>
      </c>
      <c r="AB76" s="1103">
        <v>46042</v>
      </c>
      <c r="AC76" s="1102">
        <v>4</v>
      </c>
      <c r="AD76" s="1102" t="s">
        <v>484</v>
      </c>
      <c r="AF76" s="1102" t="s">
        <v>122</v>
      </c>
      <c r="AG76" s="1102" t="s">
        <v>123</v>
      </c>
      <c r="AH76" s="1102" t="s">
        <v>105</v>
      </c>
      <c r="AI76" s="1103">
        <v>46050</v>
      </c>
      <c r="AJ76" s="1103">
        <v>46053</v>
      </c>
      <c r="AK76" s="1103">
        <v>46054</v>
      </c>
      <c r="AL76" s="1103">
        <v>46101</v>
      </c>
      <c r="AM76" s="1103">
        <v>46116</v>
      </c>
      <c r="AN76" s="1103">
        <v>46118</v>
      </c>
      <c r="AO76" s="1102" t="s">
        <v>66</v>
      </c>
      <c r="AP76" s="1102" t="s">
        <v>485</v>
      </c>
      <c r="AQ76" s="1102" t="s">
        <v>80</v>
      </c>
      <c r="AR76" s="1102" t="s">
        <v>486</v>
      </c>
      <c r="AS76" s="1102" t="s">
        <v>487</v>
      </c>
      <c r="AT76" s="1102" t="s">
        <v>487</v>
      </c>
      <c r="AU76" s="1102">
        <v>64</v>
      </c>
      <c r="AW76" s="1103">
        <v>46118</v>
      </c>
      <c r="AX76" s="1102" t="s">
        <v>84</v>
      </c>
      <c r="AY76" s="1103">
        <v>46132</v>
      </c>
      <c r="AZ76" s="1102">
        <v>7</v>
      </c>
      <c r="BA76" s="1103">
        <v>46125</v>
      </c>
      <c r="BB76" s="1102">
        <v>2026</v>
      </c>
      <c r="BC76" s="1102">
        <v>4</v>
      </c>
      <c r="BD76" s="1102">
        <v>16</v>
      </c>
      <c r="BE76" s="1102">
        <v>36</v>
      </c>
      <c r="BF76" s="1102">
        <v>864</v>
      </c>
      <c r="BG76" s="1102" t="s">
        <v>108</v>
      </c>
      <c r="BH76" s="1102" t="s">
        <v>109</v>
      </c>
    </row>
    <row r="77" spans="1:60">
      <c r="A77" s="1102" t="s">
        <v>488</v>
      </c>
      <c r="B77" s="1102" t="s">
        <v>111</v>
      </c>
      <c r="C77" s="1102" t="s">
        <v>187</v>
      </c>
      <c r="D77" s="1102" t="s">
        <v>63</v>
      </c>
      <c r="E77" s="1102" t="s">
        <v>64</v>
      </c>
      <c r="F77" s="1102" t="s">
        <v>100</v>
      </c>
      <c r="G77" s="1102" t="s">
        <v>66</v>
      </c>
      <c r="H77" s="1102" t="s">
        <v>67</v>
      </c>
      <c r="I77" s="1102" t="s">
        <v>68</v>
      </c>
      <c r="J77" s="1102" t="s">
        <v>483</v>
      </c>
      <c r="M77" s="1102" t="s">
        <v>68</v>
      </c>
      <c r="N77" s="1102" t="s">
        <v>68</v>
      </c>
      <c r="O77" s="1102" t="s">
        <v>132</v>
      </c>
      <c r="P77" s="1102" t="s">
        <v>189</v>
      </c>
      <c r="Q77" s="1102" t="s">
        <v>190</v>
      </c>
      <c r="R77" s="1102" t="s">
        <v>73</v>
      </c>
      <c r="S77" s="1102" t="s">
        <v>74</v>
      </c>
      <c r="T77" s="1102">
        <v>465</v>
      </c>
      <c r="U77" s="1102">
        <v>1728</v>
      </c>
      <c r="V77" s="1102">
        <v>0.80400000000000005</v>
      </c>
      <c r="W77" s="1102">
        <v>48</v>
      </c>
      <c r="X77" s="1102">
        <v>2</v>
      </c>
      <c r="Y77" s="1102" t="s">
        <v>75</v>
      </c>
      <c r="Z77" s="1102" t="s">
        <v>75</v>
      </c>
      <c r="AB77" s="1103">
        <v>46042</v>
      </c>
      <c r="AC77" s="1102">
        <v>4</v>
      </c>
      <c r="AD77" s="1102" t="s">
        <v>489</v>
      </c>
      <c r="AF77" s="1102" t="s">
        <v>122</v>
      </c>
      <c r="AG77" s="1102" t="s">
        <v>123</v>
      </c>
      <c r="AH77" s="1102" t="s">
        <v>105</v>
      </c>
      <c r="AI77" s="1103">
        <v>46050</v>
      </c>
      <c r="AJ77" s="1103">
        <v>46053</v>
      </c>
      <c r="AK77" s="1103">
        <v>46054</v>
      </c>
      <c r="AL77" s="1103">
        <v>46101</v>
      </c>
      <c r="AM77" s="1103">
        <v>46116</v>
      </c>
      <c r="AN77" s="1103">
        <v>46118</v>
      </c>
      <c r="AO77" s="1102" t="s">
        <v>66</v>
      </c>
      <c r="AP77" s="1102" t="s">
        <v>485</v>
      </c>
      <c r="AQ77" s="1102" t="s">
        <v>80</v>
      </c>
      <c r="AR77" s="1102" t="s">
        <v>486</v>
      </c>
      <c r="AS77" s="1102" t="s">
        <v>487</v>
      </c>
      <c r="AT77" s="1102" t="s">
        <v>487</v>
      </c>
      <c r="AU77" s="1102">
        <v>64</v>
      </c>
      <c r="AW77" s="1103">
        <v>46118</v>
      </c>
      <c r="AX77" s="1102" t="s">
        <v>84</v>
      </c>
      <c r="AY77" s="1103">
        <v>46132</v>
      </c>
      <c r="AZ77" s="1102">
        <v>7</v>
      </c>
      <c r="BA77" s="1103">
        <v>46125</v>
      </c>
      <c r="BB77" s="1102">
        <v>2026</v>
      </c>
      <c r="BC77" s="1102">
        <v>4</v>
      </c>
      <c r="BD77" s="1102">
        <v>16</v>
      </c>
      <c r="BE77" s="1102">
        <v>36</v>
      </c>
      <c r="BF77" s="1102">
        <v>864</v>
      </c>
      <c r="BG77" s="1102" t="s">
        <v>108</v>
      </c>
      <c r="BH77" s="1102" t="s">
        <v>109</v>
      </c>
    </row>
    <row r="78" spans="1:60">
      <c r="A78" s="1102" t="s">
        <v>490</v>
      </c>
      <c r="B78" s="1102" t="s">
        <v>111</v>
      </c>
      <c r="C78" s="1102" t="s">
        <v>387</v>
      </c>
      <c r="D78" s="1102" t="s">
        <v>63</v>
      </c>
      <c r="E78" s="1102" t="s">
        <v>64</v>
      </c>
      <c r="F78" s="1102" t="s">
        <v>100</v>
      </c>
      <c r="G78" s="1102" t="s">
        <v>66</v>
      </c>
      <c r="H78" s="1102" t="s">
        <v>67</v>
      </c>
      <c r="I78" s="1102" t="s">
        <v>68</v>
      </c>
      <c r="J78" s="1102" t="s">
        <v>101</v>
      </c>
      <c r="M78" s="1102" t="s">
        <v>68</v>
      </c>
      <c r="N78" s="1102" t="s">
        <v>68</v>
      </c>
      <c r="O78" s="1102" t="s">
        <v>132</v>
      </c>
      <c r="P78" s="1102" t="s">
        <v>189</v>
      </c>
      <c r="Q78" s="1102" t="s">
        <v>190</v>
      </c>
      <c r="R78" s="1102" t="s">
        <v>73</v>
      </c>
      <c r="S78" s="1102" t="s">
        <v>74</v>
      </c>
      <c r="T78" s="1102">
        <v>465</v>
      </c>
      <c r="U78" s="1102">
        <v>1728</v>
      </c>
      <c r="V78" s="1102">
        <v>0.80400000000000005</v>
      </c>
      <c r="W78" s="1102">
        <v>48</v>
      </c>
      <c r="X78" s="1102">
        <v>2</v>
      </c>
      <c r="Y78" s="1102" t="s">
        <v>75</v>
      </c>
      <c r="Z78" s="1102" t="s">
        <v>75</v>
      </c>
      <c r="AB78" s="1103">
        <v>46040</v>
      </c>
      <c r="AC78" s="1102">
        <v>3</v>
      </c>
      <c r="AD78" s="1102" t="s">
        <v>491</v>
      </c>
      <c r="AF78" s="1102" t="s">
        <v>122</v>
      </c>
      <c r="AG78" s="1102" t="s">
        <v>123</v>
      </c>
      <c r="AH78" s="1102" t="s">
        <v>105</v>
      </c>
      <c r="AI78" s="1103">
        <v>46045</v>
      </c>
      <c r="AJ78" s="1103">
        <v>46047</v>
      </c>
      <c r="AK78" s="1103">
        <v>46047</v>
      </c>
      <c r="AL78" s="1103">
        <v>46089</v>
      </c>
      <c r="AM78" s="1103">
        <v>46111</v>
      </c>
      <c r="AN78" s="1103">
        <v>46111</v>
      </c>
      <c r="AO78" s="1102" t="s">
        <v>66</v>
      </c>
      <c r="AP78" s="1102" t="s">
        <v>479</v>
      </c>
      <c r="AQ78" s="1102" t="s">
        <v>80</v>
      </c>
      <c r="AR78" s="1102" t="s">
        <v>492</v>
      </c>
      <c r="AS78" s="1102" t="s">
        <v>493</v>
      </c>
      <c r="AT78" s="1102" t="s">
        <v>493</v>
      </c>
      <c r="AU78" s="1102">
        <v>64</v>
      </c>
      <c r="AW78" s="1103">
        <v>46111</v>
      </c>
      <c r="AX78" s="1102" t="s">
        <v>84</v>
      </c>
      <c r="AY78" s="1103">
        <v>46125</v>
      </c>
      <c r="AZ78" s="1102">
        <v>7</v>
      </c>
      <c r="BA78" s="1103">
        <v>46118</v>
      </c>
      <c r="BB78" s="1102">
        <v>2026</v>
      </c>
      <c r="BC78" s="1102">
        <v>4</v>
      </c>
      <c r="BD78" s="1102">
        <v>15</v>
      </c>
      <c r="BE78" s="1102">
        <v>36</v>
      </c>
      <c r="BF78" s="1102">
        <v>864</v>
      </c>
      <c r="BG78" s="1102" t="s">
        <v>108</v>
      </c>
      <c r="BH78" s="1102" t="s">
        <v>109</v>
      </c>
    </row>
    <row r="79" spans="1:60">
      <c r="A79" s="1102" t="s">
        <v>494</v>
      </c>
      <c r="B79" s="1102" t="s">
        <v>111</v>
      </c>
      <c r="C79" s="1102" t="s">
        <v>387</v>
      </c>
      <c r="D79" s="1102" t="s">
        <v>63</v>
      </c>
      <c r="E79" s="1102" t="s">
        <v>64</v>
      </c>
      <c r="F79" s="1102" t="s">
        <v>100</v>
      </c>
      <c r="G79" s="1102" t="s">
        <v>66</v>
      </c>
      <c r="H79" s="1102" t="s">
        <v>67</v>
      </c>
      <c r="I79" s="1102" t="s">
        <v>68</v>
      </c>
      <c r="J79" s="1102" t="s">
        <v>101</v>
      </c>
      <c r="M79" s="1102" t="s">
        <v>68</v>
      </c>
      <c r="N79" s="1102" t="s">
        <v>68</v>
      </c>
      <c r="O79" s="1102" t="s">
        <v>132</v>
      </c>
      <c r="P79" s="1102" t="s">
        <v>189</v>
      </c>
      <c r="Q79" s="1102" t="s">
        <v>190</v>
      </c>
      <c r="R79" s="1102" t="s">
        <v>73</v>
      </c>
      <c r="S79" s="1102" t="s">
        <v>74</v>
      </c>
      <c r="T79" s="1102">
        <v>465</v>
      </c>
      <c r="U79" s="1102">
        <v>864</v>
      </c>
      <c r="V79" s="1102">
        <v>0.40200000000000002</v>
      </c>
      <c r="W79" s="1102">
        <v>24</v>
      </c>
      <c r="X79" s="1102">
        <v>1</v>
      </c>
      <c r="Y79" s="1102" t="s">
        <v>75</v>
      </c>
      <c r="Z79" s="1102" t="s">
        <v>75</v>
      </c>
      <c r="AB79" s="1103">
        <v>46040</v>
      </c>
      <c r="AC79" s="1102">
        <v>3</v>
      </c>
      <c r="AD79" s="1102" t="s">
        <v>495</v>
      </c>
      <c r="AF79" s="1102" t="s">
        <v>122</v>
      </c>
      <c r="AG79" s="1102" t="s">
        <v>123</v>
      </c>
      <c r="AH79" s="1102" t="s">
        <v>105</v>
      </c>
      <c r="AI79" s="1103">
        <v>46045</v>
      </c>
      <c r="AJ79" s="1103">
        <v>46047</v>
      </c>
      <c r="AK79" s="1103">
        <v>46047</v>
      </c>
      <c r="AL79" s="1103">
        <v>46089</v>
      </c>
      <c r="AM79" s="1103">
        <v>46111</v>
      </c>
      <c r="AN79" s="1103">
        <v>46111</v>
      </c>
      <c r="AO79" s="1102" t="s">
        <v>66</v>
      </c>
      <c r="AP79" s="1102" t="s">
        <v>479</v>
      </c>
      <c r="AQ79" s="1102" t="s">
        <v>80</v>
      </c>
      <c r="AR79" s="1102" t="s">
        <v>492</v>
      </c>
      <c r="AS79" s="1102" t="s">
        <v>493</v>
      </c>
      <c r="AT79" s="1102" t="s">
        <v>493</v>
      </c>
      <c r="AU79" s="1102">
        <v>64</v>
      </c>
      <c r="AW79" s="1103">
        <v>46111</v>
      </c>
      <c r="AX79" s="1102" t="s">
        <v>84</v>
      </c>
      <c r="AY79" s="1103">
        <v>46125</v>
      </c>
      <c r="AZ79" s="1102">
        <v>7</v>
      </c>
      <c r="BA79" s="1103">
        <v>46118</v>
      </c>
      <c r="BB79" s="1102">
        <v>2026</v>
      </c>
      <c r="BC79" s="1102">
        <v>4</v>
      </c>
      <c r="BD79" s="1102">
        <v>15</v>
      </c>
      <c r="BE79" s="1102">
        <v>36</v>
      </c>
      <c r="BF79" s="1102">
        <v>864</v>
      </c>
      <c r="BG79" s="1102" t="s">
        <v>108</v>
      </c>
      <c r="BH79" s="1102" t="s">
        <v>109</v>
      </c>
    </row>
    <row r="80" spans="1:60">
      <c r="A80" s="1102" t="s">
        <v>496</v>
      </c>
      <c r="B80" s="1102" t="s">
        <v>111</v>
      </c>
      <c r="C80" s="1102" t="s">
        <v>461</v>
      </c>
      <c r="D80" s="1102" t="s">
        <v>63</v>
      </c>
      <c r="E80" s="1102" t="s">
        <v>64</v>
      </c>
      <c r="F80" s="1102" t="s">
        <v>100</v>
      </c>
      <c r="G80" s="1102" t="s">
        <v>66</v>
      </c>
      <c r="H80" s="1102" t="s">
        <v>67</v>
      </c>
      <c r="I80" s="1102" t="s">
        <v>68</v>
      </c>
      <c r="J80" s="1102" t="s">
        <v>169</v>
      </c>
      <c r="M80" s="1102" t="s">
        <v>68</v>
      </c>
      <c r="N80" s="1102" t="s">
        <v>68</v>
      </c>
      <c r="O80" s="1102" t="s">
        <v>170</v>
      </c>
      <c r="P80" s="1102" t="s">
        <v>462</v>
      </c>
      <c r="Q80" s="1102" t="s">
        <v>463</v>
      </c>
      <c r="R80" s="1102" t="s">
        <v>73</v>
      </c>
      <c r="S80" s="1102" t="s">
        <v>464</v>
      </c>
      <c r="T80" s="1102">
        <v>550</v>
      </c>
      <c r="U80" s="1102">
        <v>660</v>
      </c>
      <c r="V80" s="1102">
        <v>0.36299999999999999</v>
      </c>
      <c r="W80" s="1102">
        <v>20</v>
      </c>
      <c r="X80" s="1102">
        <v>1</v>
      </c>
      <c r="Y80" s="1102" t="s">
        <v>75</v>
      </c>
      <c r="Z80" s="1102" t="s">
        <v>75</v>
      </c>
      <c r="AB80" s="1103">
        <v>46040</v>
      </c>
      <c r="AC80" s="1102">
        <v>3</v>
      </c>
      <c r="AD80" s="1102" t="s">
        <v>497</v>
      </c>
      <c r="AF80" s="1102" t="s">
        <v>122</v>
      </c>
      <c r="AG80" s="1102" t="s">
        <v>123</v>
      </c>
      <c r="AH80" s="1102" t="s">
        <v>105</v>
      </c>
      <c r="AI80" s="1103">
        <v>46045</v>
      </c>
      <c r="AJ80" s="1103">
        <v>46047</v>
      </c>
      <c r="AK80" s="1103">
        <v>46047</v>
      </c>
      <c r="AL80" s="1103">
        <v>46089</v>
      </c>
      <c r="AM80" s="1103">
        <v>46111</v>
      </c>
      <c r="AN80" s="1103">
        <v>46111</v>
      </c>
      <c r="AO80" s="1102" t="s">
        <v>66</v>
      </c>
      <c r="AP80" s="1102" t="s">
        <v>479</v>
      </c>
      <c r="AQ80" s="1102" t="s">
        <v>80</v>
      </c>
      <c r="AR80" s="1102" t="s">
        <v>492</v>
      </c>
      <c r="AS80" s="1102" t="s">
        <v>493</v>
      </c>
      <c r="AT80" s="1102" t="s">
        <v>493</v>
      </c>
      <c r="AU80" s="1102">
        <v>64</v>
      </c>
      <c r="AW80" s="1103">
        <v>46111</v>
      </c>
      <c r="AX80" s="1102" t="s">
        <v>84</v>
      </c>
      <c r="AY80" s="1103">
        <v>46125</v>
      </c>
      <c r="AZ80" s="1102">
        <v>7</v>
      </c>
      <c r="BA80" s="1103">
        <v>46118</v>
      </c>
      <c r="BB80" s="1102">
        <v>2026</v>
      </c>
      <c r="BC80" s="1102">
        <v>4</v>
      </c>
      <c r="BD80" s="1102">
        <v>15</v>
      </c>
      <c r="BE80" s="1102">
        <v>33</v>
      </c>
      <c r="BF80" s="1102">
        <v>660</v>
      </c>
      <c r="BG80" s="1102" t="s">
        <v>108</v>
      </c>
      <c r="BH80" s="1102" t="s">
        <v>109</v>
      </c>
    </row>
    <row r="81" spans="1:60">
      <c r="A81" s="1102" t="s">
        <v>498</v>
      </c>
      <c r="B81" s="1102" t="s">
        <v>111</v>
      </c>
      <c r="C81" s="1102" t="s">
        <v>461</v>
      </c>
      <c r="D81" s="1102" t="s">
        <v>63</v>
      </c>
      <c r="E81" s="1102" t="s">
        <v>64</v>
      </c>
      <c r="F81" s="1102" t="s">
        <v>100</v>
      </c>
      <c r="G81" s="1102" t="s">
        <v>66</v>
      </c>
      <c r="H81" s="1102" t="s">
        <v>67</v>
      </c>
      <c r="I81" s="1102" t="s">
        <v>68</v>
      </c>
      <c r="J81" s="1102" t="s">
        <v>169</v>
      </c>
      <c r="M81" s="1102" t="s">
        <v>68</v>
      </c>
      <c r="N81" s="1102" t="s">
        <v>68</v>
      </c>
      <c r="O81" s="1102" t="s">
        <v>170</v>
      </c>
      <c r="P81" s="1102" t="s">
        <v>462</v>
      </c>
      <c r="Q81" s="1102" t="s">
        <v>463</v>
      </c>
      <c r="R81" s="1102" t="s">
        <v>73</v>
      </c>
      <c r="S81" s="1102" t="s">
        <v>464</v>
      </c>
      <c r="T81" s="1102">
        <v>550</v>
      </c>
      <c r="U81" s="1102">
        <v>660</v>
      </c>
      <c r="V81" s="1102">
        <v>0.36299999999999999</v>
      </c>
      <c r="W81" s="1102">
        <v>20</v>
      </c>
      <c r="X81" s="1102">
        <v>1</v>
      </c>
      <c r="Y81" s="1102" t="s">
        <v>75</v>
      </c>
      <c r="Z81" s="1102" t="s">
        <v>75</v>
      </c>
      <c r="AB81" s="1103">
        <v>46040</v>
      </c>
      <c r="AC81" s="1102">
        <v>3</v>
      </c>
      <c r="AD81" s="1102" t="s">
        <v>499</v>
      </c>
      <c r="AF81" s="1102" t="s">
        <v>122</v>
      </c>
      <c r="AG81" s="1102" t="s">
        <v>123</v>
      </c>
      <c r="AH81" s="1102" t="s">
        <v>105</v>
      </c>
      <c r="AI81" s="1103">
        <v>46045</v>
      </c>
      <c r="AJ81" s="1103">
        <v>46047</v>
      </c>
      <c r="AK81" s="1103">
        <v>46047</v>
      </c>
      <c r="AL81" s="1103">
        <v>46089</v>
      </c>
      <c r="AM81" s="1103">
        <v>46111</v>
      </c>
      <c r="AN81" s="1103">
        <v>46111</v>
      </c>
      <c r="AO81" s="1102" t="s">
        <v>66</v>
      </c>
      <c r="AP81" s="1102" t="s">
        <v>479</v>
      </c>
      <c r="AQ81" s="1102" t="s">
        <v>80</v>
      </c>
      <c r="AR81" s="1102" t="s">
        <v>492</v>
      </c>
      <c r="AS81" s="1102" t="s">
        <v>493</v>
      </c>
      <c r="AT81" s="1102" t="s">
        <v>493</v>
      </c>
      <c r="AU81" s="1102">
        <v>64</v>
      </c>
      <c r="AW81" s="1103">
        <v>46111</v>
      </c>
      <c r="AX81" s="1102" t="s">
        <v>84</v>
      </c>
      <c r="AY81" s="1103">
        <v>46125</v>
      </c>
      <c r="AZ81" s="1102">
        <v>7</v>
      </c>
      <c r="BA81" s="1103">
        <v>46118</v>
      </c>
      <c r="BB81" s="1102">
        <v>2026</v>
      </c>
      <c r="BC81" s="1102">
        <v>4</v>
      </c>
      <c r="BD81" s="1102">
        <v>15</v>
      </c>
      <c r="BE81" s="1102">
        <v>33</v>
      </c>
      <c r="BF81" s="1102">
        <v>660</v>
      </c>
      <c r="BG81" s="1102" t="s">
        <v>108</v>
      </c>
      <c r="BH81" s="1102" t="s">
        <v>109</v>
      </c>
    </row>
    <row r="82" spans="1:60">
      <c r="A82" s="1102" t="s">
        <v>500</v>
      </c>
      <c r="B82" s="1102" t="s">
        <v>111</v>
      </c>
      <c r="C82" s="1102" t="s">
        <v>387</v>
      </c>
      <c r="D82" s="1102" t="s">
        <v>63</v>
      </c>
      <c r="E82" s="1102" t="s">
        <v>64</v>
      </c>
      <c r="F82" s="1102" t="s">
        <v>65</v>
      </c>
      <c r="G82" s="1102" t="s">
        <v>66</v>
      </c>
      <c r="H82" s="1102" t="s">
        <v>67</v>
      </c>
      <c r="I82" s="1102" t="s">
        <v>68</v>
      </c>
      <c r="J82" s="1102" t="s">
        <v>188</v>
      </c>
      <c r="M82" s="1102" t="s">
        <v>68</v>
      </c>
      <c r="N82" s="1102" t="s">
        <v>68</v>
      </c>
      <c r="O82" s="1102" t="s">
        <v>132</v>
      </c>
      <c r="P82" s="1102" t="s">
        <v>189</v>
      </c>
      <c r="Q82" s="1102" t="s">
        <v>190</v>
      </c>
      <c r="R82" s="1102" t="s">
        <v>73</v>
      </c>
      <c r="S82" s="1102" t="s">
        <v>74</v>
      </c>
      <c r="T82" s="1102">
        <v>465</v>
      </c>
      <c r="U82" s="1102">
        <v>1728</v>
      </c>
      <c r="V82" s="1102">
        <v>0.80400000000000005</v>
      </c>
      <c r="W82" s="1102">
        <v>48</v>
      </c>
      <c r="X82" s="1102">
        <v>2</v>
      </c>
      <c r="Y82" s="1102" t="s">
        <v>75</v>
      </c>
      <c r="Z82" s="1102" t="s">
        <v>75</v>
      </c>
      <c r="AB82" s="1103">
        <v>46038</v>
      </c>
      <c r="AC82" s="1102">
        <v>3</v>
      </c>
      <c r="AD82" s="1102" t="s">
        <v>501</v>
      </c>
      <c r="AF82" s="1102" t="s">
        <v>122</v>
      </c>
      <c r="AG82" s="1102" t="s">
        <v>123</v>
      </c>
      <c r="AH82" s="1102" t="s">
        <v>78</v>
      </c>
      <c r="AI82" s="1103">
        <v>46045</v>
      </c>
      <c r="AJ82" s="1103">
        <v>46047</v>
      </c>
      <c r="AK82" s="1103">
        <v>46047</v>
      </c>
      <c r="AL82" s="1103">
        <v>46092</v>
      </c>
      <c r="AM82" s="1103">
        <v>46111</v>
      </c>
      <c r="AN82" s="1103">
        <v>46111</v>
      </c>
      <c r="AO82" s="1102" t="s">
        <v>66</v>
      </c>
      <c r="AP82" s="1102" t="s">
        <v>479</v>
      </c>
      <c r="AQ82" s="1102" t="s">
        <v>80</v>
      </c>
      <c r="AR82" s="1102" t="s">
        <v>502</v>
      </c>
      <c r="AS82" s="1102" t="s">
        <v>503</v>
      </c>
      <c r="AT82" s="1102" t="s">
        <v>503</v>
      </c>
      <c r="AU82" s="1102">
        <v>64</v>
      </c>
      <c r="AW82" s="1103">
        <v>46111</v>
      </c>
      <c r="AX82" s="1102" t="s">
        <v>84</v>
      </c>
      <c r="AY82" s="1103">
        <v>46120</v>
      </c>
      <c r="AZ82" s="1102">
        <v>8</v>
      </c>
      <c r="BA82" s="1103">
        <v>46119</v>
      </c>
      <c r="BB82" s="1102">
        <v>2026</v>
      </c>
      <c r="BC82" s="1102">
        <v>4</v>
      </c>
      <c r="BD82" s="1102">
        <v>15</v>
      </c>
      <c r="BE82" s="1102">
        <v>36</v>
      </c>
      <c r="BF82" s="1102">
        <v>864</v>
      </c>
      <c r="BG82" s="1102" t="s">
        <v>108</v>
      </c>
      <c r="BH82" s="1102" t="s">
        <v>86</v>
      </c>
    </row>
    <row r="83" spans="1:60">
      <c r="A83" s="1102" t="s">
        <v>504</v>
      </c>
      <c r="B83" s="1102" t="s">
        <v>111</v>
      </c>
      <c r="C83" s="1102" t="s">
        <v>130</v>
      </c>
      <c r="D83" s="1102" t="s">
        <v>63</v>
      </c>
      <c r="E83" s="1102" t="s">
        <v>64</v>
      </c>
      <c r="F83" s="1102" t="s">
        <v>65</v>
      </c>
      <c r="G83" s="1102" t="s">
        <v>66</v>
      </c>
      <c r="H83" s="1102" t="s">
        <v>67</v>
      </c>
      <c r="I83" s="1102" t="s">
        <v>68</v>
      </c>
      <c r="J83" s="1102" t="s">
        <v>188</v>
      </c>
      <c r="M83" s="1102" t="s">
        <v>68</v>
      </c>
      <c r="N83" s="1102" t="s">
        <v>68</v>
      </c>
      <c r="O83" s="1102" t="s">
        <v>132</v>
      </c>
      <c r="P83" s="1102" t="s">
        <v>133</v>
      </c>
      <c r="Q83" s="1102" t="s">
        <v>134</v>
      </c>
      <c r="R83" s="1102" t="s">
        <v>73</v>
      </c>
      <c r="S83" s="1102" t="s">
        <v>120</v>
      </c>
      <c r="T83" s="1102">
        <v>720</v>
      </c>
      <c r="U83" s="1102">
        <v>594</v>
      </c>
      <c r="V83" s="1102">
        <v>0.42799999999999999</v>
      </c>
      <c r="W83" s="1102">
        <v>18</v>
      </c>
      <c r="X83" s="1102">
        <v>1</v>
      </c>
      <c r="Y83" s="1102" t="s">
        <v>75</v>
      </c>
      <c r="Z83" s="1102" t="s">
        <v>75</v>
      </c>
      <c r="AB83" s="1103">
        <v>46038</v>
      </c>
      <c r="AC83" s="1102">
        <v>3</v>
      </c>
      <c r="AD83" s="1102" t="s">
        <v>505</v>
      </c>
      <c r="AF83" s="1102" t="s">
        <v>122</v>
      </c>
      <c r="AG83" s="1102" t="s">
        <v>123</v>
      </c>
      <c r="AH83" s="1102" t="s">
        <v>78</v>
      </c>
      <c r="AI83" s="1103">
        <v>46045</v>
      </c>
      <c r="AJ83" s="1103">
        <v>46047</v>
      </c>
      <c r="AK83" s="1103">
        <v>46047</v>
      </c>
      <c r="AL83" s="1103">
        <v>46092</v>
      </c>
      <c r="AM83" s="1103">
        <v>46111</v>
      </c>
      <c r="AN83" s="1103">
        <v>46111</v>
      </c>
      <c r="AO83" s="1102" t="s">
        <v>66</v>
      </c>
      <c r="AP83" s="1102" t="s">
        <v>479</v>
      </c>
      <c r="AQ83" s="1102" t="s">
        <v>80</v>
      </c>
      <c r="AR83" s="1102" t="s">
        <v>502</v>
      </c>
      <c r="AS83" s="1102" t="s">
        <v>503</v>
      </c>
      <c r="AT83" s="1102" t="s">
        <v>503</v>
      </c>
      <c r="AU83" s="1102">
        <v>64</v>
      </c>
      <c r="AW83" s="1103">
        <v>46111</v>
      </c>
      <c r="AX83" s="1102" t="s">
        <v>84</v>
      </c>
      <c r="AY83" s="1103">
        <v>46120</v>
      </c>
      <c r="AZ83" s="1102">
        <v>8</v>
      </c>
      <c r="BA83" s="1103">
        <v>46119</v>
      </c>
      <c r="BB83" s="1102">
        <v>2026</v>
      </c>
      <c r="BC83" s="1102">
        <v>4</v>
      </c>
      <c r="BD83" s="1102">
        <v>15</v>
      </c>
      <c r="BE83" s="1102">
        <v>33</v>
      </c>
      <c r="BF83" s="1102">
        <v>594</v>
      </c>
      <c r="BG83" s="1102" t="s">
        <v>108</v>
      </c>
      <c r="BH83" s="1102" t="s">
        <v>86</v>
      </c>
    </row>
    <row r="84" spans="1:60">
      <c r="A84" s="1102" t="s">
        <v>506</v>
      </c>
      <c r="B84" s="1102" t="s">
        <v>111</v>
      </c>
      <c r="C84" s="1102" t="s">
        <v>387</v>
      </c>
      <c r="D84" s="1102" t="s">
        <v>63</v>
      </c>
      <c r="E84" s="1102" t="s">
        <v>64</v>
      </c>
      <c r="F84" s="1102" t="s">
        <v>65</v>
      </c>
      <c r="G84" s="1102" t="s">
        <v>66</v>
      </c>
      <c r="H84" s="1102" t="s">
        <v>67</v>
      </c>
      <c r="I84" s="1102" t="s">
        <v>68</v>
      </c>
      <c r="J84" s="1102" t="s">
        <v>188</v>
      </c>
      <c r="M84" s="1102" t="s">
        <v>68</v>
      </c>
      <c r="N84" s="1102" t="s">
        <v>68</v>
      </c>
      <c r="O84" s="1102" t="s">
        <v>132</v>
      </c>
      <c r="P84" s="1102" t="s">
        <v>189</v>
      </c>
      <c r="Q84" s="1102" t="s">
        <v>190</v>
      </c>
      <c r="R84" s="1102" t="s">
        <v>73</v>
      </c>
      <c r="S84" s="1102" t="s">
        <v>74</v>
      </c>
      <c r="T84" s="1102">
        <v>465</v>
      </c>
      <c r="U84" s="1102">
        <v>3456</v>
      </c>
      <c r="V84" s="1102">
        <v>1.607</v>
      </c>
      <c r="W84" s="1102">
        <v>96</v>
      </c>
      <c r="X84" s="1102">
        <v>4</v>
      </c>
      <c r="Y84" s="1102" t="s">
        <v>75</v>
      </c>
      <c r="Z84" s="1102" t="s">
        <v>75</v>
      </c>
      <c r="AB84" s="1103">
        <v>46038</v>
      </c>
      <c r="AC84" s="1102">
        <v>3</v>
      </c>
      <c r="AD84" s="1102" t="s">
        <v>507</v>
      </c>
      <c r="AF84" s="1102" t="s">
        <v>122</v>
      </c>
      <c r="AG84" s="1102" t="s">
        <v>123</v>
      </c>
      <c r="AH84" s="1102" t="s">
        <v>78</v>
      </c>
      <c r="AI84" s="1103">
        <v>46045</v>
      </c>
      <c r="AJ84" s="1103">
        <v>46047</v>
      </c>
      <c r="AK84" s="1103">
        <v>46047</v>
      </c>
      <c r="AL84" s="1103">
        <v>46092</v>
      </c>
      <c r="AM84" s="1103">
        <v>46111</v>
      </c>
      <c r="AN84" s="1103">
        <v>46111</v>
      </c>
      <c r="AO84" s="1102" t="s">
        <v>66</v>
      </c>
      <c r="AP84" s="1102" t="s">
        <v>479</v>
      </c>
      <c r="AQ84" s="1102" t="s">
        <v>80</v>
      </c>
      <c r="AR84" s="1102" t="s">
        <v>502</v>
      </c>
      <c r="AS84" s="1102" t="s">
        <v>503</v>
      </c>
      <c r="AT84" s="1102" t="s">
        <v>503</v>
      </c>
      <c r="AU84" s="1102">
        <v>64</v>
      </c>
      <c r="AW84" s="1103">
        <v>46111</v>
      </c>
      <c r="AX84" s="1102" t="s">
        <v>84</v>
      </c>
      <c r="AY84" s="1103">
        <v>46120</v>
      </c>
      <c r="AZ84" s="1102">
        <v>8</v>
      </c>
      <c r="BA84" s="1103">
        <v>46119</v>
      </c>
      <c r="BB84" s="1102">
        <v>2026</v>
      </c>
      <c r="BC84" s="1102">
        <v>4</v>
      </c>
      <c r="BD84" s="1102">
        <v>15</v>
      </c>
      <c r="BE84" s="1102">
        <v>36</v>
      </c>
      <c r="BF84" s="1102">
        <v>864</v>
      </c>
      <c r="BG84" s="1102" t="s">
        <v>108</v>
      </c>
      <c r="BH84" s="1102" t="s">
        <v>86</v>
      </c>
    </row>
    <row r="85" spans="1:60">
      <c r="A85" s="1102" t="s">
        <v>508</v>
      </c>
      <c r="B85" s="1102" t="s">
        <v>111</v>
      </c>
      <c r="C85" s="1102" t="s">
        <v>130</v>
      </c>
      <c r="D85" s="1102" t="s">
        <v>63</v>
      </c>
      <c r="E85" s="1102" t="s">
        <v>64</v>
      </c>
      <c r="F85" s="1102" t="s">
        <v>65</v>
      </c>
      <c r="G85" s="1102" t="s">
        <v>66</v>
      </c>
      <c r="H85" s="1102" t="s">
        <v>67</v>
      </c>
      <c r="I85" s="1102" t="s">
        <v>68</v>
      </c>
      <c r="J85" s="1102" t="s">
        <v>188</v>
      </c>
      <c r="M85" s="1102" t="s">
        <v>68</v>
      </c>
      <c r="N85" s="1102" t="s">
        <v>68</v>
      </c>
      <c r="O85" s="1102" t="s">
        <v>132</v>
      </c>
      <c r="P85" s="1102" t="s">
        <v>133</v>
      </c>
      <c r="Q85" s="1102" t="s">
        <v>134</v>
      </c>
      <c r="R85" s="1102" t="s">
        <v>73</v>
      </c>
      <c r="S85" s="1102" t="s">
        <v>120</v>
      </c>
      <c r="T85" s="1102">
        <v>720</v>
      </c>
      <c r="U85" s="1102">
        <v>1782</v>
      </c>
      <c r="V85" s="1102">
        <v>1.2829999999999999</v>
      </c>
      <c r="W85" s="1102">
        <v>54</v>
      </c>
      <c r="X85" s="1102">
        <v>3</v>
      </c>
      <c r="Y85" s="1102" t="s">
        <v>75</v>
      </c>
      <c r="Z85" s="1102" t="s">
        <v>75</v>
      </c>
      <c r="AB85" s="1103">
        <v>46039</v>
      </c>
      <c r="AC85" s="1102">
        <v>3</v>
      </c>
      <c r="AD85" s="1102" t="s">
        <v>509</v>
      </c>
      <c r="AF85" s="1102" t="s">
        <v>122</v>
      </c>
      <c r="AG85" s="1102" t="s">
        <v>123</v>
      </c>
      <c r="AH85" s="1102" t="s">
        <v>78</v>
      </c>
      <c r="AI85" s="1103">
        <v>46045</v>
      </c>
      <c r="AJ85" s="1103">
        <v>46047</v>
      </c>
      <c r="AK85" s="1103">
        <v>46047</v>
      </c>
      <c r="AL85" s="1103">
        <v>46092</v>
      </c>
      <c r="AM85" s="1103">
        <v>46111</v>
      </c>
      <c r="AN85" s="1103">
        <v>46111</v>
      </c>
      <c r="AO85" s="1102" t="s">
        <v>66</v>
      </c>
      <c r="AP85" s="1102" t="s">
        <v>479</v>
      </c>
      <c r="AQ85" s="1102" t="s">
        <v>80</v>
      </c>
      <c r="AR85" s="1102" t="s">
        <v>510</v>
      </c>
      <c r="AS85" s="1102" t="s">
        <v>511</v>
      </c>
      <c r="AT85" s="1102" t="s">
        <v>511</v>
      </c>
      <c r="AU85" s="1102">
        <v>64</v>
      </c>
      <c r="AW85" s="1103">
        <v>46111</v>
      </c>
      <c r="AX85" s="1102" t="s">
        <v>84</v>
      </c>
      <c r="AY85" s="1103">
        <v>46120</v>
      </c>
      <c r="AZ85" s="1102">
        <v>8</v>
      </c>
      <c r="BA85" s="1103">
        <v>46119</v>
      </c>
      <c r="BB85" s="1102">
        <v>2026</v>
      </c>
      <c r="BC85" s="1102">
        <v>4</v>
      </c>
      <c r="BD85" s="1102">
        <v>15</v>
      </c>
      <c r="BE85" s="1102">
        <v>33</v>
      </c>
      <c r="BF85" s="1102">
        <v>594</v>
      </c>
      <c r="BG85" s="1102" t="s">
        <v>108</v>
      </c>
      <c r="BH85" s="1102" t="s">
        <v>86</v>
      </c>
    </row>
    <row r="86" spans="1:60">
      <c r="A86" s="1102" t="s">
        <v>512</v>
      </c>
      <c r="B86" s="1102" t="s">
        <v>111</v>
      </c>
      <c r="C86" s="1102" t="s">
        <v>130</v>
      </c>
      <c r="D86" s="1102" t="s">
        <v>63</v>
      </c>
      <c r="E86" s="1102" t="s">
        <v>64</v>
      </c>
      <c r="F86" s="1102" t="s">
        <v>65</v>
      </c>
      <c r="G86" s="1102" t="s">
        <v>66</v>
      </c>
      <c r="H86" s="1102" t="s">
        <v>67</v>
      </c>
      <c r="I86" s="1102" t="s">
        <v>68</v>
      </c>
      <c r="J86" s="1102" t="s">
        <v>188</v>
      </c>
      <c r="M86" s="1102" t="s">
        <v>68</v>
      </c>
      <c r="N86" s="1102" t="s">
        <v>68</v>
      </c>
      <c r="O86" s="1102" t="s">
        <v>132</v>
      </c>
      <c r="P86" s="1102" t="s">
        <v>133</v>
      </c>
      <c r="Q86" s="1102" t="s">
        <v>134</v>
      </c>
      <c r="R86" s="1102" t="s">
        <v>73</v>
      </c>
      <c r="S86" s="1102" t="s">
        <v>120</v>
      </c>
      <c r="T86" s="1102">
        <v>720</v>
      </c>
      <c r="U86" s="1102">
        <v>2376</v>
      </c>
      <c r="V86" s="1102">
        <v>1.7110000000000001</v>
      </c>
      <c r="W86" s="1102">
        <v>72</v>
      </c>
      <c r="X86" s="1102">
        <v>4</v>
      </c>
      <c r="Y86" s="1102" t="s">
        <v>75</v>
      </c>
      <c r="Z86" s="1102" t="s">
        <v>75</v>
      </c>
      <c r="AB86" s="1103">
        <v>46039</v>
      </c>
      <c r="AC86" s="1102">
        <v>3</v>
      </c>
      <c r="AD86" s="1102" t="s">
        <v>513</v>
      </c>
      <c r="AF86" s="1102" t="s">
        <v>122</v>
      </c>
      <c r="AG86" s="1102" t="s">
        <v>123</v>
      </c>
      <c r="AH86" s="1102" t="s">
        <v>78</v>
      </c>
      <c r="AI86" s="1103">
        <v>46045</v>
      </c>
      <c r="AJ86" s="1103">
        <v>46047</v>
      </c>
      <c r="AK86" s="1103">
        <v>46047</v>
      </c>
      <c r="AL86" s="1103">
        <v>46092</v>
      </c>
      <c r="AM86" s="1103">
        <v>46111</v>
      </c>
      <c r="AN86" s="1103">
        <v>46111</v>
      </c>
      <c r="AO86" s="1102" t="s">
        <v>66</v>
      </c>
      <c r="AP86" s="1102" t="s">
        <v>479</v>
      </c>
      <c r="AQ86" s="1102" t="s">
        <v>80</v>
      </c>
      <c r="AR86" s="1102" t="s">
        <v>510</v>
      </c>
      <c r="AS86" s="1102" t="s">
        <v>511</v>
      </c>
      <c r="AT86" s="1102" t="s">
        <v>511</v>
      </c>
      <c r="AU86" s="1102">
        <v>64</v>
      </c>
      <c r="AW86" s="1103">
        <v>46111</v>
      </c>
      <c r="AX86" s="1102" t="s">
        <v>84</v>
      </c>
      <c r="AY86" s="1103">
        <v>46120</v>
      </c>
      <c r="AZ86" s="1102">
        <v>8</v>
      </c>
      <c r="BA86" s="1103">
        <v>46119</v>
      </c>
      <c r="BB86" s="1102">
        <v>2026</v>
      </c>
      <c r="BC86" s="1102">
        <v>4</v>
      </c>
      <c r="BD86" s="1102">
        <v>15</v>
      </c>
      <c r="BE86" s="1102">
        <v>33</v>
      </c>
      <c r="BF86" s="1102">
        <v>594</v>
      </c>
      <c r="BG86" s="1102" t="s">
        <v>108</v>
      </c>
      <c r="BH86" s="1102" t="s">
        <v>86</v>
      </c>
    </row>
    <row r="87" spans="1:60">
      <c r="A87" s="1102" t="s">
        <v>514</v>
      </c>
      <c r="B87" s="1102" t="s">
        <v>111</v>
      </c>
      <c r="C87" s="1102" t="s">
        <v>112</v>
      </c>
      <c r="D87" s="1102" t="s">
        <v>113</v>
      </c>
      <c r="E87" s="1102" t="s">
        <v>64</v>
      </c>
      <c r="F87" s="1102" t="s">
        <v>114</v>
      </c>
      <c r="G87" s="1102" t="s">
        <v>66</v>
      </c>
      <c r="H87" s="1102" t="s">
        <v>115</v>
      </c>
      <c r="I87" s="1102" t="s">
        <v>68</v>
      </c>
      <c r="J87" s="1102" t="s">
        <v>116</v>
      </c>
      <c r="K87" s="1102" t="s">
        <v>266</v>
      </c>
      <c r="M87" s="1102" t="s">
        <v>68</v>
      </c>
      <c r="N87" s="1102" t="s">
        <v>68</v>
      </c>
      <c r="O87" s="1102" t="s">
        <v>70</v>
      </c>
      <c r="P87" s="1102" t="s">
        <v>118</v>
      </c>
      <c r="Q87" s="1102" t="s">
        <v>119</v>
      </c>
      <c r="R87" s="1102" t="s">
        <v>73</v>
      </c>
      <c r="S87" s="1102" t="s">
        <v>120</v>
      </c>
      <c r="T87" s="1102">
        <v>640</v>
      </c>
      <c r="U87" s="1102" t="s">
        <v>197</v>
      </c>
      <c r="V87" s="1102" t="s">
        <v>515</v>
      </c>
      <c r="W87" s="1102" t="s">
        <v>516</v>
      </c>
      <c r="X87" s="1102">
        <v>0</v>
      </c>
      <c r="Y87" s="1102" t="s">
        <v>75</v>
      </c>
      <c r="Z87" s="1102" t="s">
        <v>75</v>
      </c>
      <c r="AB87" s="1103">
        <v>46040</v>
      </c>
      <c r="AC87" s="1102">
        <v>3</v>
      </c>
      <c r="AD87" s="1102" t="s">
        <v>517</v>
      </c>
      <c r="AF87" s="1102" t="s">
        <v>122</v>
      </c>
      <c r="AG87" s="1102" t="s">
        <v>123</v>
      </c>
      <c r="AH87" s="1102" t="s">
        <v>124</v>
      </c>
      <c r="AI87" s="1103">
        <v>46045</v>
      </c>
      <c r="AJ87" s="1103">
        <v>46047</v>
      </c>
      <c r="AK87" s="1103">
        <v>46047</v>
      </c>
      <c r="AL87" s="1103">
        <v>46100</v>
      </c>
      <c r="AM87" s="1103">
        <v>46114</v>
      </c>
      <c r="AN87" s="1103">
        <v>46117</v>
      </c>
      <c r="AO87" s="1102" t="s">
        <v>66</v>
      </c>
      <c r="AP87" s="1102" t="s">
        <v>479</v>
      </c>
      <c r="AQ87" s="1102" t="s">
        <v>80</v>
      </c>
      <c r="AR87" s="1102" t="s">
        <v>518</v>
      </c>
      <c r="AS87" s="1102" t="s">
        <v>519</v>
      </c>
      <c r="AT87" s="1102" t="s">
        <v>519</v>
      </c>
      <c r="AU87" s="1102">
        <v>70</v>
      </c>
      <c r="AW87" s="1103">
        <v>46117</v>
      </c>
      <c r="AX87" s="1102" t="s">
        <v>84</v>
      </c>
      <c r="AY87" s="1103">
        <v>46120</v>
      </c>
      <c r="AZ87" s="1102">
        <v>9</v>
      </c>
      <c r="BA87" s="1103">
        <v>46126</v>
      </c>
      <c r="BB87" s="1102">
        <v>2026</v>
      </c>
      <c r="BC87" s="1102">
        <v>4</v>
      </c>
      <c r="BD87" s="1102">
        <v>16</v>
      </c>
      <c r="BE87" s="1102">
        <v>36</v>
      </c>
      <c r="BF87" s="1102">
        <v>576</v>
      </c>
      <c r="BG87" s="1102" t="s">
        <v>128</v>
      </c>
      <c r="BH87" s="1102" t="s">
        <v>86</v>
      </c>
    </row>
    <row r="88" spans="1:60">
      <c r="A88" s="1102" t="s">
        <v>520</v>
      </c>
      <c r="B88" s="1102" t="s">
        <v>111</v>
      </c>
      <c r="C88" s="1102" t="s">
        <v>112</v>
      </c>
      <c r="D88" s="1102" t="s">
        <v>113</v>
      </c>
      <c r="E88" s="1102" t="s">
        <v>64</v>
      </c>
      <c r="F88" s="1102" t="s">
        <v>114</v>
      </c>
      <c r="G88" s="1102" t="s">
        <v>66</v>
      </c>
      <c r="H88" s="1102" t="s">
        <v>115</v>
      </c>
      <c r="I88" s="1102" t="s">
        <v>68</v>
      </c>
      <c r="J88" s="1102" t="s">
        <v>116</v>
      </c>
      <c r="K88" s="1102" t="s">
        <v>266</v>
      </c>
      <c r="M88" s="1102" t="s">
        <v>68</v>
      </c>
      <c r="N88" s="1102" t="s">
        <v>68</v>
      </c>
      <c r="O88" s="1102" t="s">
        <v>70</v>
      </c>
      <c r="P88" s="1102" t="s">
        <v>118</v>
      </c>
      <c r="Q88" s="1102" t="s">
        <v>119</v>
      </c>
      <c r="R88" s="1102" t="s">
        <v>73</v>
      </c>
      <c r="S88" s="1102" t="s">
        <v>120</v>
      </c>
      <c r="T88" s="1102">
        <v>640</v>
      </c>
      <c r="U88" s="1102">
        <v>1152</v>
      </c>
      <c r="V88" s="1102">
        <v>0.73699999999999999</v>
      </c>
      <c r="W88" s="1102">
        <v>32</v>
      </c>
      <c r="X88" s="1102">
        <v>2</v>
      </c>
      <c r="Y88" s="1102" t="s">
        <v>75</v>
      </c>
      <c r="Z88" s="1102" t="s">
        <v>75</v>
      </c>
      <c r="AB88" s="1103">
        <v>46042</v>
      </c>
      <c r="AC88" s="1102">
        <v>4</v>
      </c>
      <c r="AD88" s="1102" t="s">
        <v>521</v>
      </c>
      <c r="AF88" s="1102" t="s">
        <v>122</v>
      </c>
      <c r="AG88" s="1102" t="s">
        <v>123</v>
      </c>
      <c r="AH88" s="1102" t="s">
        <v>124</v>
      </c>
      <c r="AI88" s="1103">
        <v>46051</v>
      </c>
      <c r="AJ88" s="1103">
        <v>46053</v>
      </c>
      <c r="AK88" s="1103">
        <v>46054</v>
      </c>
      <c r="AL88" s="1103">
        <v>46093</v>
      </c>
      <c r="AM88" s="1103">
        <v>46095</v>
      </c>
      <c r="AN88" s="1103">
        <v>46095</v>
      </c>
      <c r="AO88" s="1102" t="s">
        <v>66</v>
      </c>
      <c r="AP88" s="1102" t="s">
        <v>485</v>
      </c>
      <c r="AQ88" s="1102" t="s">
        <v>80</v>
      </c>
      <c r="AR88" s="1102" t="s">
        <v>522</v>
      </c>
      <c r="AS88" s="1102" t="s">
        <v>523</v>
      </c>
      <c r="AT88" s="1102" t="s">
        <v>523</v>
      </c>
      <c r="AU88" s="1102">
        <v>41</v>
      </c>
      <c r="AW88" s="1103">
        <v>46095</v>
      </c>
      <c r="AX88" s="1102" t="s">
        <v>84</v>
      </c>
      <c r="AY88" s="1103">
        <v>46107</v>
      </c>
      <c r="AZ88" s="1102">
        <v>9</v>
      </c>
      <c r="BA88" s="1103">
        <v>46104</v>
      </c>
      <c r="BB88" s="1102">
        <v>2026</v>
      </c>
      <c r="BC88" s="1102">
        <v>3</v>
      </c>
      <c r="BD88" s="1102">
        <v>13</v>
      </c>
      <c r="BE88" s="1102">
        <v>36</v>
      </c>
      <c r="BF88" s="1102">
        <v>576</v>
      </c>
      <c r="BG88" s="1102" t="s">
        <v>128</v>
      </c>
      <c r="BH88" s="1102" t="s">
        <v>86</v>
      </c>
    </row>
    <row r="89" spans="1:60">
      <c r="A89" s="1102" t="s">
        <v>524</v>
      </c>
      <c r="B89" s="1102" t="s">
        <v>111</v>
      </c>
      <c r="C89" s="1102" t="s">
        <v>525</v>
      </c>
      <c r="D89" s="1102" t="s">
        <v>63</v>
      </c>
      <c r="E89" s="1102" t="s">
        <v>144</v>
      </c>
      <c r="F89" s="1102" t="s">
        <v>145</v>
      </c>
      <c r="G89" s="1102" t="s">
        <v>402</v>
      </c>
      <c r="H89" s="1102" t="s">
        <v>526</v>
      </c>
      <c r="I89" s="1102" t="s">
        <v>68</v>
      </c>
      <c r="J89" s="1102" t="s">
        <v>527</v>
      </c>
      <c r="K89" s="1102" t="s">
        <v>528</v>
      </c>
      <c r="M89" s="1102" t="s">
        <v>68</v>
      </c>
      <c r="N89" s="1102" t="s">
        <v>68</v>
      </c>
      <c r="O89" s="1102" t="s">
        <v>473</v>
      </c>
      <c r="P89" s="1102" t="s">
        <v>529</v>
      </c>
      <c r="Q89" s="1102" t="s">
        <v>530</v>
      </c>
      <c r="R89" s="1102" t="s">
        <v>73</v>
      </c>
      <c r="S89" s="1102" t="s">
        <v>74</v>
      </c>
      <c r="T89" s="1102">
        <v>455</v>
      </c>
      <c r="U89" s="1102">
        <v>4320</v>
      </c>
      <c r="V89" s="1102">
        <v>1.966</v>
      </c>
      <c r="W89" s="1102">
        <v>120</v>
      </c>
      <c r="X89" s="1102">
        <v>5</v>
      </c>
      <c r="Y89" s="1102" t="s">
        <v>75</v>
      </c>
      <c r="Z89" s="1102" t="s">
        <v>75</v>
      </c>
      <c r="AB89" s="1103">
        <v>46049</v>
      </c>
      <c r="AC89" s="1102">
        <v>5</v>
      </c>
      <c r="AD89" s="1102" t="s">
        <v>531</v>
      </c>
      <c r="AF89" s="1102" t="s">
        <v>122</v>
      </c>
      <c r="AG89" s="1102" t="s">
        <v>123</v>
      </c>
      <c r="AH89" s="1102" t="s">
        <v>532</v>
      </c>
      <c r="AI89" s="1103">
        <v>46055</v>
      </c>
      <c r="AJ89" s="1103">
        <v>46059</v>
      </c>
      <c r="AK89" s="1103">
        <v>46059</v>
      </c>
      <c r="AL89" s="1103">
        <v>46106</v>
      </c>
      <c r="AM89" s="1103">
        <v>46121</v>
      </c>
      <c r="AN89" s="1103">
        <v>46122</v>
      </c>
      <c r="AO89" s="1102" t="s">
        <v>402</v>
      </c>
      <c r="AP89" s="1102" t="s">
        <v>533</v>
      </c>
      <c r="AQ89" s="1102" t="s">
        <v>161</v>
      </c>
      <c r="AR89" s="1102" t="s">
        <v>534</v>
      </c>
      <c r="AS89" s="1102" t="s">
        <v>535</v>
      </c>
      <c r="AT89" s="1102" t="s">
        <v>536</v>
      </c>
      <c r="AU89" s="1102">
        <v>63</v>
      </c>
      <c r="AW89" s="1103">
        <v>46122</v>
      </c>
      <c r="AX89" s="1102" t="s">
        <v>84</v>
      </c>
      <c r="AY89" s="1103">
        <v>46120</v>
      </c>
      <c r="AZ89" s="1102" t="s">
        <v>152</v>
      </c>
      <c r="BA89" s="1103">
        <v>46122</v>
      </c>
      <c r="BB89" s="1102">
        <v>2026</v>
      </c>
      <c r="BC89" s="1102">
        <v>4</v>
      </c>
      <c r="BD89" s="1102">
        <v>15</v>
      </c>
      <c r="BE89" s="1102">
        <v>36</v>
      </c>
      <c r="BF89" s="1102">
        <v>864</v>
      </c>
      <c r="BG89" s="1102" t="s">
        <v>85</v>
      </c>
      <c r="BH89" s="1102" t="s">
        <v>109</v>
      </c>
    </row>
    <row r="90" spans="1:60">
      <c r="A90" s="1102" t="s">
        <v>537</v>
      </c>
      <c r="B90" s="1102" t="s">
        <v>111</v>
      </c>
      <c r="C90" s="1102" t="s">
        <v>203</v>
      </c>
      <c r="D90" s="1102" t="s">
        <v>63</v>
      </c>
      <c r="E90" s="1102" t="s">
        <v>144</v>
      </c>
      <c r="F90" s="1102" t="s">
        <v>145</v>
      </c>
      <c r="G90" s="1102" t="s">
        <v>402</v>
      </c>
      <c r="H90" s="1102" t="s">
        <v>538</v>
      </c>
      <c r="I90" s="1102" t="s">
        <v>68</v>
      </c>
      <c r="J90" s="1102" t="s">
        <v>538</v>
      </c>
      <c r="K90" s="1102" t="s">
        <v>539</v>
      </c>
      <c r="M90" s="1102" t="s">
        <v>68</v>
      </c>
      <c r="N90" s="1102" t="s">
        <v>68</v>
      </c>
      <c r="O90" s="1102" t="s">
        <v>473</v>
      </c>
      <c r="P90" s="1102" t="s">
        <v>529</v>
      </c>
      <c r="Q90" s="1102" t="s">
        <v>530</v>
      </c>
      <c r="R90" s="1102" t="s">
        <v>73</v>
      </c>
      <c r="S90" s="1102" t="s">
        <v>74</v>
      </c>
      <c r="T90" s="1102">
        <v>455</v>
      </c>
      <c r="U90" s="1102">
        <v>1728</v>
      </c>
      <c r="V90" s="1102">
        <v>0.78600000000000003</v>
      </c>
      <c r="W90" s="1102">
        <v>48</v>
      </c>
      <c r="X90" s="1102">
        <v>2</v>
      </c>
      <c r="Y90" s="1102" t="s">
        <v>75</v>
      </c>
      <c r="Z90" s="1102" t="s">
        <v>75</v>
      </c>
      <c r="AB90" s="1103">
        <v>46040</v>
      </c>
      <c r="AC90" s="1102">
        <v>3</v>
      </c>
      <c r="AD90" s="1102" t="s">
        <v>540</v>
      </c>
      <c r="AF90" s="1102" t="s">
        <v>122</v>
      </c>
      <c r="AG90" s="1102" t="s">
        <v>123</v>
      </c>
      <c r="AH90" s="1102" t="s">
        <v>541</v>
      </c>
      <c r="AI90" s="1103">
        <v>46047</v>
      </c>
      <c r="AJ90" s="1103">
        <v>46054</v>
      </c>
      <c r="AK90" s="1103">
        <v>46054</v>
      </c>
      <c r="AL90" s="1103">
        <v>46093</v>
      </c>
      <c r="AM90" s="1103">
        <v>46107</v>
      </c>
      <c r="AN90" s="1103">
        <v>46107</v>
      </c>
      <c r="AO90" s="1102" t="s">
        <v>402</v>
      </c>
      <c r="AP90" s="1102" t="s">
        <v>542</v>
      </c>
      <c r="AQ90" s="1102" t="s">
        <v>161</v>
      </c>
      <c r="AR90" s="1102" t="s">
        <v>543</v>
      </c>
      <c r="AS90" s="1102" t="s">
        <v>544</v>
      </c>
      <c r="AT90" s="1102" t="s">
        <v>544</v>
      </c>
      <c r="AU90" s="1102">
        <v>53</v>
      </c>
      <c r="AW90" s="1103">
        <v>46107</v>
      </c>
      <c r="AX90" s="1102" t="s">
        <v>84</v>
      </c>
      <c r="AY90" s="1103">
        <v>46104</v>
      </c>
      <c r="AZ90" s="1102" t="s">
        <v>152</v>
      </c>
      <c r="BA90" s="1103">
        <v>46107</v>
      </c>
      <c r="BB90" s="1102">
        <v>2026</v>
      </c>
      <c r="BC90" s="1102">
        <v>3</v>
      </c>
      <c r="BD90" s="1102">
        <v>13</v>
      </c>
      <c r="BE90" s="1102">
        <v>36</v>
      </c>
      <c r="BF90" s="1102">
        <v>864</v>
      </c>
      <c r="BG90" s="1102" t="s">
        <v>85</v>
      </c>
      <c r="BH90" s="1102" t="s">
        <v>109</v>
      </c>
    </row>
    <row r="91" spans="1:60">
      <c r="A91" s="1102" t="s">
        <v>545</v>
      </c>
      <c r="B91" s="1102" t="s">
        <v>111</v>
      </c>
      <c r="C91" s="1102" t="s">
        <v>203</v>
      </c>
      <c r="D91" s="1102" t="s">
        <v>63</v>
      </c>
      <c r="E91" s="1102" t="s">
        <v>144</v>
      </c>
      <c r="F91" s="1102" t="s">
        <v>145</v>
      </c>
      <c r="G91" s="1102" t="s">
        <v>402</v>
      </c>
      <c r="H91" s="1102" t="s">
        <v>538</v>
      </c>
      <c r="I91" s="1102" t="s">
        <v>68</v>
      </c>
      <c r="J91" s="1102" t="s">
        <v>538</v>
      </c>
      <c r="K91" s="1102" t="s">
        <v>539</v>
      </c>
      <c r="M91" s="1102" t="s">
        <v>68</v>
      </c>
      <c r="N91" s="1102" t="s">
        <v>68</v>
      </c>
      <c r="O91" s="1102" t="s">
        <v>473</v>
      </c>
      <c r="P91" s="1102" t="s">
        <v>529</v>
      </c>
      <c r="Q91" s="1102" t="s">
        <v>530</v>
      </c>
      <c r="R91" s="1102" t="s">
        <v>73</v>
      </c>
      <c r="S91" s="1102" t="s">
        <v>74</v>
      </c>
      <c r="T91" s="1102">
        <v>455</v>
      </c>
      <c r="U91" s="1102">
        <v>2592</v>
      </c>
      <c r="V91" s="1102">
        <v>1.179</v>
      </c>
      <c r="W91" s="1102">
        <v>72</v>
      </c>
      <c r="X91" s="1102">
        <v>3</v>
      </c>
      <c r="Y91" s="1102" t="s">
        <v>75</v>
      </c>
      <c r="Z91" s="1102" t="s">
        <v>75</v>
      </c>
      <c r="AB91" s="1103">
        <v>46040</v>
      </c>
      <c r="AC91" s="1102">
        <v>3</v>
      </c>
      <c r="AD91" s="1102" t="s">
        <v>546</v>
      </c>
      <c r="AF91" s="1102" t="s">
        <v>122</v>
      </c>
      <c r="AG91" s="1102" t="s">
        <v>123</v>
      </c>
      <c r="AH91" s="1102" t="s">
        <v>541</v>
      </c>
      <c r="AI91" s="1103">
        <v>46047</v>
      </c>
      <c r="AJ91" s="1103">
        <v>46054</v>
      </c>
      <c r="AK91" s="1103">
        <v>46054</v>
      </c>
      <c r="AL91" s="1103">
        <v>46093</v>
      </c>
      <c r="AM91" s="1103">
        <v>46107</v>
      </c>
      <c r="AN91" s="1103">
        <v>46107</v>
      </c>
      <c r="AO91" s="1102" t="s">
        <v>402</v>
      </c>
      <c r="AP91" s="1102" t="s">
        <v>542</v>
      </c>
      <c r="AQ91" s="1102" t="s">
        <v>161</v>
      </c>
      <c r="AR91" s="1102" t="s">
        <v>543</v>
      </c>
      <c r="AS91" s="1102" t="s">
        <v>544</v>
      </c>
      <c r="AT91" s="1102" t="s">
        <v>544</v>
      </c>
      <c r="AU91" s="1102">
        <v>53</v>
      </c>
      <c r="AW91" s="1103">
        <v>46107</v>
      </c>
      <c r="AX91" s="1102" t="s">
        <v>84</v>
      </c>
      <c r="AY91" s="1103">
        <v>46104</v>
      </c>
      <c r="AZ91" s="1102" t="s">
        <v>152</v>
      </c>
      <c r="BA91" s="1103">
        <v>46107</v>
      </c>
      <c r="BB91" s="1102">
        <v>2026</v>
      </c>
      <c r="BC91" s="1102">
        <v>3</v>
      </c>
      <c r="BD91" s="1102">
        <v>13</v>
      </c>
      <c r="BE91" s="1102">
        <v>36</v>
      </c>
      <c r="BF91" s="1102">
        <v>864</v>
      </c>
      <c r="BG91" s="1102" t="s">
        <v>85</v>
      </c>
      <c r="BH91" s="1102" t="s">
        <v>109</v>
      </c>
    </row>
    <row r="92" spans="1:60">
      <c r="A92" s="1102" t="s">
        <v>547</v>
      </c>
      <c r="B92" s="1102" t="s">
        <v>111</v>
      </c>
      <c r="C92" s="1102" t="s">
        <v>548</v>
      </c>
      <c r="D92" s="1102" t="s">
        <v>63</v>
      </c>
      <c r="E92" s="1102" t="s">
        <v>144</v>
      </c>
      <c r="F92" s="1102" t="s">
        <v>145</v>
      </c>
      <c r="G92" s="1102" t="s">
        <v>402</v>
      </c>
      <c r="H92" s="1102" t="s">
        <v>538</v>
      </c>
      <c r="I92" s="1102" t="s">
        <v>68</v>
      </c>
      <c r="J92" s="1102" t="s">
        <v>538</v>
      </c>
      <c r="K92" s="1102" t="s">
        <v>549</v>
      </c>
      <c r="M92" s="1102" t="s">
        <v>68</v>
      </c>
      <c r="N92" s="1102" t="s">
        <v>68</v>
      </c>
      <c r="O92" s="1102" t="s">
        <v>550</v>
      </c>
      <c r="P92" s="1102" t="s">
        <v>551</v>
      </c>
      <c r="Q92" s="1102" t="s">
        <v>552</v>
      </c>
      <c r="R92" s="1102" t="s">
        <v>73</v>
      </c>
      <c r="S92" s="1102" t="s">
        <v>553</v>
      </c>
      <c r="T92" s="1102">
        <v>510</v>
      </c>
      <c r="U92" s="1102">
        <v>2376</v>
      </c>
      <c r="V92" s="1102">
        <v>1.212</v>
      </c>
      <c r="W92" s="1102">
        <v>66</v>
      </c>
      <c r="X92" s="1102">
        <v>3</v>
      </c>
      <c r="Y92" s="1102" t="s">
        <v>75</v>
      </c>
      <c r="Z92" s="1102" t="s">
        <v>75</v>
      </c>
      <c r="AB92" s="1103">
        <v>46040</v>
      </c>
      <c r="AC92" s="1102">
        <v>3</v>
      </c>
      <c r="AD92" s="1102" t="s">
        <v>554</v>
      </c>
      <c r="AF92" s="1102" t="s">
        <v>122</v>
      </c>
      <c r="AG92" s="1102" t="s">
        <v>123</v>
      </c>
      <c r="AH92" s="1102" t="s">
        <v>541</v>
      </c>
      <c r="AI92" s="1103">
        <v>46047</v>
      </c>
      <c r="AJ92" s="1103">
        <v>46054</v>
      </c>
      <c r="AK92" s="1103">
        <v>46054</v>
      </c>
      <c r="AL92" s="1103">
        <v>46093</v>
      </c>
      <c r="AM92" s="1103">
        <v>46107</v>
      </c>
      <c r="AN92" s="1103">
        <v>46107</v>
      </c>
      <c r="AO92" s="1102" t="s">
        <v>402</v>
      </c>
      <c r="AP92" s="1102" t="s">
        <v>542</v>
      </c>
      <c r="AQ92" s="1102" t="s">
        <v>161</v>
      </c>
      <c r="AR92" s="1102" t="s">
        <v>543</v>
      </c>
      <c r="AS92" s="1102" t="s">
        <v>544</v>
      </c>
      <c r="AT92" s="1102" t="s">
        <v>544</v>
      </c>
      <c r="AU92" s="1102">
        <v>53</v>
      </c>
      <c r="AW92" s="1103">
        <v>46107</v>
      </c>
      <c r="AX92" s="1102" t="s">
        <v>84</v>
      </c>
      <c r="AY92" s="1103">
        <v>46104</v>
      </c>
      <c r="AZ92" s="1102" t="s">
        <v>152</v>
      </c>
      <c r="BA92" s="1103">
        <v>46107</v>
      </c>
      <c r="BB92" s="1102">
        <v>2026</v>
      </c>
      <c r="BC92" s="1102">
        <v>3</v>
      </c>
      <c r="BD92" s="1102">
        <v>13</v>
      </c>
      <c r="BE92" s="1102">
        <v>36</v>
      </c>
      <c r="BF92" s="1102">
        <v>792</v>
      </c>
      <c r="BG92" s="1102" t="s">
        <v>85</v>
      </c>
      <c r="BH92" s="1102" t="s">
        <v>109</v>
      </c>
    </row>
    <row r="93" spans="1:60">
      <c r="A93" s="1102" t="s">
        <v>555</v>
      </c>
      <c r="B93" s="1102" t="s">
        <v>111</v>
      </c>
      <c r="C93" s="1102" t="s">
        <v>525</v>
      </c>
      <c r="D93" s="1102" t="s">
        <v>63</v>
      </c>
      <c r="E93" s="1102" t="s">
        <v>144</v>
      </c>
      <c r="F93" s="1102" t="s">
        <v>145</v>
      </c>
      <c r="G93" s="1102" t="s">
        <v>402</v>
      </c>
      <c r="H93" s="1102" t="s">
        <v>538</v>
      </c>
      <c r="I93" s="1102" t="s">
        <v>68</v>
      </c>
      <c r="J93" s="1102" t="s">
        <v>538</v>
      </c>
      <c r="K93" s="1102" t="s">
        <v>549</v>
      </c>
      <c r="M93" s="1102" t="s">
        <v>68</v>
      </c>
      <c r="N93" s="1102" t="s">
        <v>68</v>
      </c>
      <c r="O93" s="1102" t="s">
        <v>473</v>
      </c>
      <c r="P93" s="1102" t="s">
        <v>529</v>
      </c>
      <c r="Q93" s="1102" t="s">
        <v>530</v>
      </c>
      <c r="R93" s="1102" t="s">
        <v>73</v>
      </c>
      <c r="S93" s="1102" t="s">
        <v>74</v>
      </c>
      <c r="T93" s="1102">
        <v>455</v>
      </c>
      <c r="U93" s="1102">
        <v>5184</v>
      </c>
      <c r="V93" s="1102">
        <v>2.359</v>
      </c>
      <c r="W93" s="1102">
        <v>144</v>
      </c>
      <c r="X93" s="1102">
        <v>6</v>
      </c>
      <c r="Y93" s="1102" t="s">
        <v>75</v>
      </c>
      <c r="Z93" s="1102" t="s">
        <v>75</v>
      </c>
      <c r="AB93" s="1103">
        <v>46040</v>
      </c>
      <c r="AC93" s="1102">
        <v>3</v>
      </c>
      <c r="AD93" s="1102" t="s">
        <v>556</v>
      </c>
      <c r="AF93" s="1102" t="s">
        <v>122</v>
      </c>
      <c r="AG93" s="1102" t="s">
        <v>123</v>
      </c>
      <c r="AH93" s="1102" t="s">
        <v>541</v>
      </c>
      <c r="AI93" s="1103">
        <v>46047</v>
      </c>
      <c r="AJ93" s="1103">
        <v>46054</v>
      </c>
      <c r="AK93" s="1103">
        <v>46054</v>
      </c>
      <c r="AL93" s="1103">
        <v>46093</v>
      </c>
      <c r="AM93" s="1103">
        <v>46107</v>
      </c>
      <c r="AN93" s="1103">
        <v>46107</v>
      </c>
      <c r="AO93" s="1102" t="s">
        <v>402</v>
      </c>
      <c r="AP93" s="1102" t="s">
        <v>542</v>
      </c>
      <c r="AQ93" s="1102" t="s">
        <v>161</v>
      </c>
      <c r="AR93" s="1102" t="s">
        <v>543</v>
      </c>
      <c r="AS93" s="1102" t="s">
        <v>544</v>
      </c>
      <c r="AT93" s="1102" t="s">
        <v>544</v>
      </c>
      <c r="AU93" s="1102">
        <v>53</v>
      </c>
      <c r="AW93" s="1103">
        <v>46107</v>
      </c>
      <c r="AX93" s="1102" t="s">
        <v>84</v>
      </c>
      <c r="AY93" s="1103">
        <v>46104</v>
      </c>
      <c r="AZ93" s="1102" t="s">
        <v>152</v>
      </c>
      <c r="BA93" s="1103">
        <v>46107</v>
      </c>
      <c r="BB93" s="1102">
        <v>2026</v>
      </c>
      <c r="BC93" s="1102">
        <v>3</v>
      </c>
      <c r="BD93" s="1102">
        <v>13</v>
      </c>
      <c r="BE93" s="1102">
        <v>36</v>
      </c>
      <c r="BF93" s="1102">
        <v>864</v>
      </c>
      <c r="BG93" s="1102" t="s">
        <v>85</v>
      </c>
      <c r="BH93" s="1102" t="s">
        <v>109</v>
      </c>
    </row>
    <row r="94" spans="1:60">
      <c r="A94" s="1102" t="s">
        <v>557</v>
      </c>
      <c r="B94" s="1102" t="s">
        <v>61</v>
      </c>
      <c r="C94" s="1102" t="s">
        <v>558</v>
      </c>
      <c r="D94" s="1102" t="s">
        <v>63</v>
      </c>
      <c r="E94" s="1102" t="s">
        <v>144</v>
      </c>
      <c r="F94" s="1102" t="s">
        <v>145</v>
      </c>
      <c r="G94" s="1102" t="s">
        <v>402</v>
      </c>
      <c r="H94" s="1102" t="s">
        <v>538</v>
      </c>
      <c r="I94" s="1102" t="s">
        <v>68</v>
      </c>
      <c r="J94" s="1102" t="s">
        <v>538</v>
      </c>
      <c r="K94" s="1102" t="s">
        <v>559</v>
      </c>
      <c r="M94" s="1102" t="s">
        <v>68</v>
      </c>
      <c r="N94" s="1102" t="s">
        <v>68</v>
      </c>
      <c r="O94" s="1102" t="s">
        <v>70</v>
      </c>
      <c r="P94" s="1102" t="s">
        <v>560</v>
      </c>
      <c r="Q94" s="1102" t="s">
        <v>196</v>
      </c>
      <c r="R94" s="1102" t="s">
        <v>73</v>
      </c>
      <c r="S94" s="1102" t="s">
        <v>120</v>
      </c>
      <c r="T94" s="1102">
        <v>450</v>
      </c>
      <c r="U94" s="1102">
        <v>1872</v>
      </c>
      <c r="V94" s="1102">
        <v>0.84199999999999997</v>
      </c>
      <c r="W94" s="1102">
        <v>52</v>
      </c>
      <c r="X94" s="1102">
        <v>2</v>
      </c>
      <c r="Y94" s="1102" t="s">
        <v>75</v>
      </c>
      <c r="Z94" s="1102" t="s">
        <v>75</v>
      </c>
      <c r="AB94" s="1103">
        <v>46044</v>
      </c>
      <c r="AC94" s="1102">
        <v>4</v>
      </c>
      <c r="AD94" s="1102" t="s">
        <v>561</v>
      </c>
      <c r="AF94" s="1102" t="s">
        <v>77</v>
      </c>
      <c r="AG94" s="1102" t="s">
        <v>61</v>
      </c>
      <c r="AH94" s="1102" t="s">
        <v>541</v>
      </c>
      <c r="AI94" s="1103">
        <v>46050</v>
      </c>
      <c r="AJ94" s="1103">
        <v>46051</v>
      </c>
      <c r="AK94" s="1103">
        <v>46051</v>
      </c>
      <c r="AL94" s="1103">
        <v>46119</v>
      </c>
      <c r="AM94" s="1103">
        <v>46128</v>
      </c>
      <c r="AN94" s="1103">
        <v>46128</v>
      </c>
      <c r="AO94" s="1102" t="s">
        <v>402</v>
      </c>
      <c r="AP94" s="1102" t="s">
        <v>562</v>
      </c>
      <c r="AQ94" s="1102" t="s">
        <v>161</v>
      </c>
      <c r="AR94" s="1102" t="s">
        <v>563</v>
      </c>
      <c r="AS94" s="1102" t="s">
        <v>564</v>
      </c>
      <c r="AT94" s="1102" t="s">
        <v>564</v>
      </c>
      <c r="AU94" s="1102">
        <v>77</v>
      </c>
      <c r="AW94" s="1103">
        <v>46128</v>
      </c>
      <c r="AX94" s="1102" t="s">
        <v>84</v>
      </c>
      <c r="AY94" s="1103">
        <v>46118</v>
      </c>
      <c r="AZ94" s="1102" t="s">
        <v>152</v>
      </c>
      <c r="BA94" s="1103">
        <v>46128</v>
      </c>
      <c r="BB94" s="1102">
        <v>2026</v>
      </c>
      <c r="BC94" s="1102">
        <v>4</v>
      </c>
      <c r="BD94" s="1102">
        <v>16</v>
      </c>
      <c r="BE94" s="1102">
        <v>36</v>
      </c>
      <c r="BF94" s="1102">
        <v>936</v>
      </c>
      <c r="BG94" s="1102" t="s">
        <v>94</v>
      </c>
      <c r="BH94" s="1102" t="s">
        <v>109</v>
      </c>
    </row>
    <row r="95" spans="1:60">
      <c r="A95" s="1102" t="s">
        <v>565</v>
      </c>
      <c r="B95" s="1102" t="s">
        <v>61</v>
      </c>
      <c r="C95" s="1102" t="s">
        <v>558</v>
      </c>
      <c r="D95" s="1102" t="s">
        <v>63</v>
      </c>
      <c r="E95" s="1102" t="s">
        <v>144</v>
      </c>
      <c r="F95" s="1102" t="s">
        <v>145</v>
      </c>
      <c r="G95" s="1102" t="s">
        <v>402</v>
      </c>
      <c r="H95" s="1102" t="s">
        <v>538</v>
      </c>
      <c r="I95" s="1102" t="s">
        <v>68</v>
      </c>
      <c r="J95" s="1102" t="s">
        <v>538</v>
      </c>
      <c r="K95" s="1102" t="s">
        <v>566</v>
      </c>
      <c r="M95" s="1102" t="s">
        <v>68</v>
      </c>
      <c r="N95" s="1102" t="s">
        <v>68</v>
      </c>
      <c r="O95" s="1102" t="s">
        <v>70</v>
      </c>
      <c r="P95" s="1102" t="s">
        <v>560</v>
      </c>
      <c r="Q95" s="1102" t="s">
        <v>196</v>
      </c>
      <c r="R95" s="1102" t="s">
        <v>73</v>
      </c>
      <c r="S95" s="1102" t="s">
        <v>120</v>
      </c>
      <c r="T95" s="1102">
        <v>450</v>
      </c>
      <c r="U95" s="1102">
        <v>1872</v>
      </c>
      <c r="V95" s="1102">
        <v>0.84199999999999997</v>
      </c>
      <c r="W95" s="1102">
        <v>52</v>
      </c>
      <c r="X95" s="1102">
        <v>2</v>
      </c>
      <c r="Y95" s="1102" t="s">
        <v>75</v>
      </c>
      <c r="Z95" s="1102" t="s">
        <v>75</v>
      </c>
      <c r="AB95" s="1103">
        <v>46044</v>
      </c>
      <c r="AC95" s="1102">
        <v>4</v>
      </c>
      <c r="AD95" s="1102" t="s">
        <v>567</v>
      </c>
      <c r="AF95" s="1102" t="s">
        <v>77</v>
      </c>
      <c r="AG95" s="1102" t="s">
        <v>61</v>
      </c>
      <c r="AH95" s="1102" t="s">
        <v>541</v>
      </c>
      <c r="AI95" s="1103">
        <v>46050</v>
      </c>
      <c r="AJ95" s="1103">
        <v>46051</v>
      </c>
      <c r="AK95" s="1103">
        <v>46051</v>
      </c>
      <c r="AL95" s="1103">
        <v>46119</v>
      </c>
      <c r="AM95" s="1103">
        <v>46128</v>
      </c>
      <c r="AN95" s="1103">
        <v>46128</v>
      </c>
      <c r="AO95" s="1102" t="s">
        <v>402</v>
      </c>
      <c r="AP95" s="1102" t="s">
        <v>562</v>
      </c>
      <c r="AQ95" s="1102" t="s">
        <v>161</v>
      </c>
      <c r="AR95" s="1102" t="s">
        <v>563</v>
      </c>
      <c r="AS95" s="1102" t="s">
        <v>564</v>
      </c>
      <c r="AT95" s="1102" t="s">
        <v>564</v>
      </c>
      <c r="AU95" s="1102">
        <v>77</v>
      </c>
      <c r="AW95" s="1103">
        <v>46128</v>
      </c>
      <c r="AX95" s="1102" t="s">
        <v>84</v>
      </c>
      <c r="AY95" s="1103">
        <v>46118</v>
      </c>
      <c r="AZ95" s="1102" t="s">
        <v>152</v>
      </c>
      <c r="BA95" s="1103">
        <v>46128</v>
      </c>
      <c r="BB95" s="1102">
        <v>2026</v>
      </c>
      <c r="BC95" s="1102">
        <v>4</v>
      </c>
      <c r="BD95" s="1102">
        <v>16</v>
      </c>
      <c r="BE95" s="1102">
        <v>36</v>
      </c>
      <c r="BF95" s="1102">
        <v>936</v>
      </c>
      <c r="BG95" s="1102" t="s">
        <v>94</v>
      </c>
      <c r="BH95" s="1102" t="s">
        <v>109</v>
      </c>
    </row>
    <row r="96" spans="1:60">
      <c r="A96" s="1102" t="s">
        <v>568</v>
      </c>
      <c r="B96" s="1102" t="s">
        <v>61</v>
      </c>
      <c r="C96" s="1102" t="s">
        <v>569</v>
      </c>
      <c r="D96" s="1102" t="s">
        <v>63</v>
      </c>
      <c r="E96" s="1102" t="s">
        <v>144</v>
      </c>
      <c r="F96" s="1102" t="s">
        <v>145</v>
      </c>
      <c r="G96" s="1102" t="s">
        <v>402</v>
      </c>
      <c r="H96" s="1102" t="s">
        <v>538</v>
      </c>
      <c r="I96" s="1102" t="s">
        <v>68</v>
      </c>
      <c r="J96" s="1102" t="s">
        <v>538</v>
      </c>
      <c r="K96" s="1102" t="s">
        <v>559</v>
      </c>
      <c r="M96" s="1102" t="s">
        <v>68</v>
      </c>
      <c r="N96" s="1102" t="s">
        <v>68</v>
      </c>
      <c r="O96" s="1102" t="s">
        <v>70</v>
      </c>
      <c r="P96" s="1102" t="s">
        <v>570</v>
      </c>
      <c r="Q96" s="1102" t="s">
        <v>571</v>
      </c>
      <c r="R96" s="1102" t="s">
        <v>73</v>
      </c>
      <c r="S96" s="1102" t="s">
        <v>120</v>
      </c>
      <c r="T96" s="1102">
        <v>445</v>
      </c>
      <c r="U96" s="1102">
        <v>3744</v>
      </c>
      <c r="V96" s="1102">
        <v>1.6659999999999999</v>
      </c>
      <c r="W96" s="1102">
        <v>104</v>
      </c>
      <c r="X96" s="1102">
        <v>4</v>
      </c>
      <c r="Y96" s="1102" t="s">
        <v>75</v>
      </c>
      <c r="Z96" s="1102" t="s">
        <v>75</v>
      </c>
      <c r="AB96" s="1103">
        <v>46044</v>
      </c>
      <c r="AC96" s="1102">
        <v>4</v>
      </c>
      <c r="AD96" s="1102" t="s">
        <v>572</v>
      </c>
      <c r="AF96" s="1102" t="s">
        <v>77</v>
      </c>
      <c r="AG96" s="1102" t="s">
        <v>61</v>
      </c>
      <c r="AH96" s="1102" t="s">
        <v>541</v>
      </c>
      <c r="AI96" s="1103">
        <v>46050</v>
      </c>
      <c r="AJ96" s="1103">
        <v>46051</v>
      </c>
      <c r="AK96" s="1103">
        <v>46051</v>
      </c>
      <c r="AL96" s="1103">
        <v>46119</v>
      </c>
      <c r="AM96" s="1103">
        <v>46128</v>
      </c>
      <c r="AN96" s="1103">
        <v>46128</v>
      </c>
      <c r="AO96" s="1102" t="s">
        <v>402</v>
      </c>
      <c r="AP96" s="1102" t="s">
        <v>562</v>
      </c>
      <c r="AQ96" s="1102" t="s">
        <v>161</v>
      </c>
      <c r="AR96" s="1102" t="s">
        <v>563</v>
      </c>
      <c r="AS96" s="1102" t="s">
        <v>564</v>
      </c>
      <c r="AT96" s="1102" t="s">
        <v>564</v>
      </c>
      <c r="AU96" s="1102">
        <v>77</v>
      </c>
      <c r="AW96" s="1103">
        <v>46128</v>
      </c>
      <c r="AX96" s="1102" t="s">
        <v>84</v>
      </c>
      <c r="AY96" s="1103">
        <v>46118</v>
      </c>
      <c r="AZ96" s="1102" t="s">
        <v>152</v>
      </c>
      <c r="BA96" s="1103">
        <v>46128</v>
      </c>
      <c r="BB96" s="1102">
        <v>2026</v>
      </c>
      <c r="BC96" s="1102">
        <v>4</v>
      </c>
      <c r="BD96" s="1102">
        <v>16</v>
      </c>
      <c r="BE96" s="1102">
        <v>36</v>
      </c>
      <c r="BF96" s="1102">
        <v>936</v>
      </c>
      <c r="BG96" s="1102" t="s">
        <v>94</v>
      </c>
      <c r="BH96" s="1102" t="s">
        <v>109</v>
      </c>
    </row>
    <row r="97" spans="1:60">
      <c r="A97" s="1102" t="s">
        <v>573</v>
      </c>
      <c r="B97" s="1102" t="s">
        <v>61</v>
      </c>
      <c r="C97" s="1102" t="s">
        <v>569</v>
      </c>
      <c r="D97" s="1102" t="s">
        <v>63</v>
      </c>
      <c r="E97" s="1102" t="s">
        <v>144</v>
      </c>
      <c r="F97" s="1102" t="s">
        <v>145</v>
      </c>
      <c r="G97" s="1102" t="s">
        <v>402</v>
      </c>
      <c r="H97" s="1102" t="s">
        <v>538</v>
      </c>
      <c r="I97" s="1102" t="s">
        <v>68</v>
      </c>
      <c r="J97" s="1102" t="s">
        <v>538</v>
      </c>
      <c r="K97" s="1102" t="s">
        <v>574</v>
      </c>
      <c r="M97" s="1102" t="s">
        <v>68</v>
      </c>
      <c r="N97" s="1102" t="s">
        <v>68</v>
      </c>
      <c r="O97" s="1102" t="s">
        <v>70</v>
      </c>
      <c r="P97" s="1102" t="s">
        <v>570</v>
      </c>
      <c r="Q97" s="1102" t="s">
        <v>571</v>
      </c>
      <c r="R97" s="1102" t="s">
        <v>73</v>
      </c>
      <c r="S97" s="1102" t="s">
        <v>120</v>
      </c>
      <c r="T97" s="1102">
        <v>445</v>
      </c>
      <c r="U97" s="1102">
        <v>4680</v>
      </c>
      <c r="V97" s="1102">
        <v>2.0830000000000002</v>
      </c>
      <c r="W97" s="1102">
        <v>130</v>
      </c>
      <c r="X97" s="1102">
        <v>5</v>
      </c>
      <c r="Y97" s="1102" t="s">
        <v>75</v>
      </c>
      <c r="Z97" s="1102" t="s">
        <v>75</v>
      </c>
      <c r="AB97" s="1103">
        <v>46044</v>
      </c>
      <c r="AC97" s="1102">
        <v>4</v>
      </c>
      <c r="AD97" s="1102" t="s">
        <v>575</v>
      </c>
      <c r="AF97" s="1102" t="s">
        <v>77</v>
      </c>
      <c r="AG97" s="1102" t="s">
        <v>61</v>
      </c>
      <c r="AH97" s="1102" t="s">
        <v>541</v>
      </c>
      <c r="AI97" s="1103">
        <v>46050</v>
      </c>
      <c r="AJ97" s="1103">
        <v>46051</v>
      </c>
      <c r="AK97" s="1103">
        <v>46051</v>
      </c>
      <c r="AL97" s="1103">
        <v>46119</v>
      </c>
      <c r="AM97" s="1103">
        <v>46128</v>
      </c>
      <c r="AN97" s="1103">
        <v>46128</v>
      </c>
      <c r="AO97" s="1102" t="s">
        <v>402</v>
      </c>
      <c r="AP97" s="1102" t="s">
        <v>562</v>
      </c>
      <c r="AQ97" s="1102" t="s">
        <v>161</v>
      </c>
      <c r="AR97" s="1102" t="s">
        <v>563</v>
      </c>
      <c r="AS97" s="1102" t="s">
        <v>564</v>
      </c>
      <c r="AT97" s="1102" t="s">
        <v>564</v>
      </c>
      <c r="AU97" s="1102">
        <v>77</v>
      </c>
      <c r="AW97" s="1103">
        <v>46128</v>
      </c>
      <c r="AX97" s="1102" t="s">
        <v>84</v>
      </c>
      <c r="AY97" s="1103">
        <v>46118</v>
      </c>
      <c r="AZ97" s="1102" t="s">
        <v>152</v>
      </c>
      <c r="BA97" s="1103">
        <v>46128</v>
      </c>
      <c r="BB97" s="1102">
        <v>2026</v>
      </c>
      <c r="BC97" s="1102">
        <v>4</v>
      </c>
      <c r="BD97" s="1102">
        <v>16</v>
      </c>
      <c r="BE97" s="1102">
        <v>36</v>
      </c>
      <c r="BF97" s="1102">
        <v>936</v>
      </c>
      <c r="BG97" s="1102" t="s">
        <v>94</v>
      </c>
      <c r="BH97" s="1102" t="s">
        <v>109</v>
      </c>
    </row>
    <row r="98" spans="1:60">
      <c r="A98" s="1102" t="s">
        <v>576</v>
      </c>
      <c r="B98" s="1102" t="s">
        <v>61</v>
      </c>
      <c r="C98" s="1102" t="s">
        <v>577</v>
      </c>
      <c r="D98" s="1102" t="s">
        <v>63</v>
      </c>
      <c r="E98" s="1102" t="s">
        <v>64</v>
      </c>
      <c r="F98" s="1102" t="s">
        <v>100</v>
      </c>
      <c r="G98" s="1102" t="s">
        <v>66</v>
      </c>
      <c r="H98" s="1102" t="s">
        <v>67</v>
      </c>
      <c r="I98" s="1102" t="s">
        <v>68</v>
      </c>
      <c r="J98" s="1102" t="s">
        <v>578</v>
      </c>
      <c r="K98" s="1102" t="s">
        <v>328</v>
      </c>
      <c r="M98" s="1102" t="s">
        <v>68</v>
      </c>
      <c r="N98" s="1102" t="s">
        <v>68</v>
      </c>
      <c r="O98" s="1102" t="s">
        <v>70</v>
      </c>
      <c r="P98" s="1102" t="s">
        <v>71</v>
      </c>
      <c r="Q98" s="1102" t="s">
        <v>72</v>
      </c>
      <c r="R98" s="1102" t="s">
        <v>73</v>
      </c>
      <c r="S98" s="1102" t="s">
        <v>74</v>
      </c>
      <c r="T98" s="1102">
        <v>500</v>
      </c>
      <c r="U98" s="1102">
        <v>8640</v>
      </c>
      <c r="V98" s="1102">
        <v>4.32</v>
      </c>
      <c r="W98" s="1102">
        <v>240</v>
      </c>
      <c r="X98" s="1102">
        <v>10</v>
      </c>
      <c r="Y98" s="1102" t="s">
        <v>75</v>
      </c>
      <c r="Z98" s="1102" t="s">
        <v>75</v>
      </c>
      <c r="AA98" s="1102" t="s">
        <v>197</v>
      </c>
      <c r="AB98" s="1103">
        <v>46045</v>
      </c>
      <c r="AC98" s="1102">
        <v>4</v>
      </c>
      <c r="AD98" s="1102" t="s">
        <v>579</v>
      </c>
      <c r="AE98" s="1102" t="s">
        <v>197</v>
      </c>
      <c r="AF98" s="1102" t="s">
        <v>77</v>
      </c>
      <c r="AG98" s="1102" t="s">
        <v>61</v>
      </c>
      <c r="AH98" s="1102" t="s">
        <v>105</v>
      </c>
      <c r="AI98" s="1103">
        <v>46054</v>
      </c>
      <c r="AJ98" s="1103">
        <v>46054</v>
      </c>
      <c r="AK98" s="1103">
        <v>46055</v>
      </c>
      <c r="AL98" s="1103">
        <v>46094</v>
      </c>
      <c r="AM98" s="1103">
        <v>46116</v>
      </c>
      <c r="AN98" s="1103">
        <v>46118</v>
      </c>
      <c r="AO98" s="1102" t="s">
        <v>66</v>
      </c>
      <c r="AP98" s="1102" t="s">
        <v>580</v>
      </c>
      <c r="AQ98" s="1102" t="s">
        <v>80</v>
      </c>
      <c r="AR98" s="1102" t="s">
        <v>581</v>
      </c>
      <c r="AS98" s="1102" t="s">
        <v>582</v>
      </c>
      <c r="AT98" s="1102" t="s">
        <v>582</v>
      </c>
      <c r="AU98" s="1102">
        <v>63</v>
      </c>
      <c r="AW98" s="1103">
        <v>46118</v>
      </c>
      <c r="AX98" s="1102" t="s">
        <v>84</v>
      </c>
      <c r="AY98" s="1103">
        <v>46129</v>
      </c>
      <c r="AZ98" s="1102">
        <v>7</v>
      </c>
      <c r="BA98" s="1103">
        <v>46125</v>
      </c>
      <c r="BB98" s="1102">
        <v>2026</v>
      </c>
      <c r="BC98" s="1102">
        <v>4</v>
      </c>
      <c r="BD98" s="1102">
        <v>16</v>
      </c>
      <c r="BE98" s="1102">
        <v>36</v>
      </c>
      <c r="BF98" s="1102">
        <v>864</v>
      </c>
      <c r="BG98" s="1102" t="s">
        <v>85</v>
      </c>
      <c r="BH98" s="1102" t="s">
        <v>109</v>
      </c>
    </row>
    <row r="99" spans="1:60">
      <c r="A99" s="1102" t="s">
        <v>583</v>
      </c>
      <c r="B99" s="1102" t="s">
        <v>61</v>
      </c>
      <c r="C99" s="1102" t="s">
        <v>584</v>
      </c>
      <c r="D99" s="1102" t="s">
        <v>63</v>
      </c>
      <c r="E99" s="1102" t="s">
        <v>64</v>
      </c>
      <c r="F99" s="1102" t="s">
        <v>310</v>
      </c>
      <c r="G99" s="1102" t="s">
        <v>66</v>
      </c>
      <c r="H99" s="1102" t="s">
        <v>311</v>
      </c>
      <c r="I99" s="1102" t="s">
        <v>68</v>
      </c>
      <c r="J99" s="1102" t="s">
        <v>188</v>
      </c>
      <c r="M99" s="1102" t="s">
        <v>68</v>
      </c>
      <c r="N99" s="1102" t="s">
        <v>68</v>
      </c>
      <c r="O99" s="1102" t="s">
        <v>70</v>
      </c>
      <c r="P99" s="1102" t="s">
        <v>585</v>
      </c>
      <c r="Q99" s="1102" t="s">
        <v>103</v>
      </c>
      <c r="R99" s="1102" t="s">
        <v>331</v>
      </c>
      <c r="S99" s="1102" t="s">
        <v>120</v>
      </c>
      <c r="T99" s="1102">
        <v>620</v>
      </c>
      <c r="U99" s="1102">
        <v>1440</v>
      </c>
      <c r="V99" s="1102">
        <v>0.89300000000000002</v>
      </c>
      <c r="W99" s="1102">
        <v>40</v>
      </c>
      <c r="X99" s="1102">
        <v>2</v>
      </c>
      <c r="Y99" s="1102" t="s">
        <v>75</v>
      </c>
      <c r="Z99" s="1102" t="s">
        <v>75</v>
      </c>
      <c r="AA99" s="1102" t="s">
        <v>197</v>
      </c>
      <c r="AB99" s="1103">
        <v>46044</v>
      </c>
      <c r="AC99" s="1102">
        <v>4</v>
      </c>
      <c r="AD99" s="1102" t="s">
        <v>586</v>
      </c>
      <c r="AE99" s="1102" t="s">
        <v>197</v>
      </c>
      <c r="AF99" s="1102" t="s">
        <v>77</v>
      </c>
      <c r="AG99" s="1102" t="s">
        <v>61</v>
      </c>
      <c r="AH99" s="1102" t="s">
        <v>314</v>
      </c>
      <c r="AI99" s="1103">
        <v>46048</v>
      </c>
      <c r="AJ99" s="1103">
        <v>46049</v>
      </c>
      <c r="AK99" s="1103">
        <v>46049</v>
      </c>
      <c r="AL99" s="1103">
        <v>46106</v>
      </c>
      <c r="AM99" s="1103">
        <v>46120</v>
      </c>
      <c r="AN99" s="1103">
        <v>46120</v>
      </c>
      <c r="AO99" s="1102" t="s">
        <v>66</v>
      </c>
      <c r="AP99" s="1102" t="s">
        <v>587</v>
      </c>
      <c r="AQ99" s="1102" t="s">
        <v>80</v>
      </c>
      <c r="AR99" s="1102" t="s">
        <v>588</v>
      </c>
      <c r="AS99" s="1102" t="s">
        <v>589</v>
      </c>
      <c r="AT99" s="1102" t="s">
        <v>589</v>
      </c>
      <c r="AU99" s="1102">
        <v>71</v>
      </c>
      <c r="AW99" s="1103">
        <v>46120</v>
      </c>
      <c r="AX99" s="1102" t="s">
        <v>84</v>
      </c>
      <c r="AY99" s="1103">
        <v>46132</v>
      </c>
      <c r="AZ99" s="1102">
        <v>13</v>
      </c>
      <c r="BA99" s="1103">
        <v>46133</v>
      </c>
      <c r="BB99" s="1102">
        <v>2026</v>
      </c>
      <c r="BC99" s="1102">
        <v>4</v>
      </c>
      <c r="BD99" s="1102">
        <v>17</v>
      </c>
      <c r="BE99" s="1102">
        <v>36</v>
      </c>
      <c r="BF99" s="1102">
        <v>720</v>
      </c>
      <c r="BG99" s="1102" t="s">
        <v>128</v>
      </c>
      <c r="BH99" s="1102" t="s">
        <v>86</v>
      </c>
    </row>
    <row r="100" spans="1:60">
      <c r="A100" s="1102" t="s">
        <v>590</v>
      </c>
      <c r="B100" s="1102" t="s">
        <v>61</v>
      </c>
      <c r="C100" s="1102" t="s">
        <v>418</v>
      </c>
      <c r="D100" s="1102" t="s">
        <v>63</v>
      </c>
      <c r="E100" s="1102" t="s">
        <v>64</v>
      </c>
      <c r="F100" s="1102" t="s">
        <v>310</v>
      </c>
      <c r="G100" s="1102" t="s">
        <v>66</v>
      </c>
      <c r="H100" s="1102" t="s">
        <v>311</v>
      </c>
      <c r="I100" s="1102" t="s">
        <v>68</v>
      </c>
      <c r="J100" s="1102" t="s">
        <v>188</v>
      </c>
      <c r="M100" s="1102" t="s">
        <v>68</v>
      </c>
      <c r="N100" s="1102" t="s">
        <v>68</v>
      </c>
      <c r="O100" s="1102" t="s">
        <v>70</v>
      </c>
      <c r="P100" s="1102" t="s">
        <v>420</v>
      </c>
      <c r="Q100" s="1102" t="s">
        <v>421</v>
      </c>
      <c r="R100" s="1102" t="s">
        <v>73</v>
      </c>
      <c r="S100" s="1102" t="s">
        <v>120</v>
      </c>
      <c r="T100" s="1102">
        <v>505</v>
      </c>
      <c r="U100" s="1102">
        <v>2592</v>
      </c>
      <c r="V100" s="1102">
        <v>1.3089999999999999</v>
      </c>
      <c r="W100" s="1102">
        <v>72</v>
      </c>
      <c r="X100" s="1102">
        <v>3</v>
      </c>
      <c r="Y100" s="1102" t="s">
        <v>75</v>
      </c>
      <c r="Z100" s="1102" t="s">
        <v>75</v>
      </c>
      <c r="AA100" s="1102" t="s">
        <v>197</v>
      </c>
      <c r="AB100" s="1103">
        <v>46044</v>
      </c>
      <c r="AC100" s="1102">
        <v>4</v>
      </c>
      <c r="AD100" s="1102" t="s">
        <v>591</v>
      </c>
      <c r="AE100" s="1102" t="s">
        <v>197</v>
      </c>
      <c r="AF100" s="1102" t="s">
        <v>77</v>
      </c>
      <c r="AG100" s="1102" t="s">
        <v>61</v>
      </c>
      <c r="AH100" s="1102" t="s">
        <v>314</v>
      </c>
      <c r="AI100" s="1103">
        <v>46048</v>
      </c>
      <c r="AJ100" s="1103">
        <v>46049</v>
      </c>
      <c r="AK100" s="1103">
        <v>46049</v>
      </c>
      <c r="AL100" s="1103">
        <v>46106</v>
      </c>
      <c r="AM100" s="1103">
        <v>46120</v>
      </c>
      <c r="AN100" s="1103">
        <v>46120</v>
      </c>
      <c r="AO100" s="1102" t="s">
        <v>66</v>
      </c>
      <c r="AP100" s="1102" t="s">
        <v>587</v>
      </c>
      <c r="AQ100" s="1102" t="s">
        <v>80</v>
      </c>
      <c r="AR100" s="1102" t="s">
        <v>588</v>
      </c>
      <c r="AS100" s="1102" t="s">
        <v>589</v>
      </c>
      <c r="AT100" s="1102" t="s">
        <v>589</v>
      </c>
      <c r="AU100" s="1102">
        <v>71</v>
      </c>
      <c r="AW100" s="1103">
        <v>46120</v>
      </c>
      <c r="AX100" s="1102" t="s">
        <v>84</v>
      </c>
      <c r="AY100" s="1103">
        <v>46133</v>
      </c>
      <c r="AZ100" s="1102">
        <v>13</v>
      </c>
      <c r="BA100" s="1103">
        <v>46133</v>
      </c>
      <c r="BB100" s="1102">
        <v>2026</v>
      </c>
      <c r="BC100" s="1102">
        <v>4</v>
      </c>
      <c r="BD100" s="1102">
        <v>17</v>
      </c>
      <c r="BE100" s="1102">
        <v>36</v>
      </c>
      <c r="BF100" s="1102">
        <v>864</v>
      </c>
      <c r="BG100" s="1102" t="s">
        <v>85</v>
      </c>
      <c r="BH100" s="1102" t="s">
        <v>86</v>
      </c>
    </row>
    <row r="101" spans="1:60">
      <c r="A101" s="1102" t="s">
        <v>592</v>
      </c>
      <c r="B101" s="1102" t="s">
        <v>61</v>
      </c>
      <c r="C101" s="1102" t="s">
        <v>193</v>
      </c>
      <c r="D101" s="1102" t="s">
        <v>63</v>
      </c>
      <c r="E101" s="1102" t="s">
        <v>144</v>
      </c>
      <c r="F101" s="1102" t="s">
        <v>145</v>
      </c>
      <c r="G101" s="1102" t="s">
        <v>402</v>
      </c>
      <c r="H101" s="1102" t="s">
        <v>593</v>
      </c>
      <c r="I101" s="1102" t="s">
        <v>68</v>
      </c>
      <c r="J101" s="1102" t="s">
        <v>594</v>
      </c>
      <c r="K101" s="1102" t="s">
        <v>595</v>
      </c>
      <c r="M101" s="1102" t="s">
        <v>68</v>
      </c>
      <c r="N101" s="1102" t="s">
        <v>68</v>
      </c>
      <c r="O101" s="1102" t="s">
        <v>70</v>
      </c>
      <c r="P101" s="1102" t="s">
        <v>195</v>
      </c>
      <c r="Q101" s="1102" t="s">
        <v>196</v>
      </c>
      <c r="R101" s="1102" t="s">
        <v>73</v>
      </c>
      <c r="S101" s="1102" t="s">
        <v>74</v>
      </c>
      <c r="T101" s="1102">
        <v>450</v>
      </c>
      <c r="U101" s="1102">
        <v>1872</v>
      </c>
      <c r="V101" s="1102">
        <v>0.84199999999999997</v>
      </c>
      <c r="W101" s="1102">
        <v>52</v>
      </c>
      <c r="X101" s="1102">
        <v>2</v>
      </c>
      <c r="Y101" s="1102" t="s">
        <v>75</v>
      </c>
      <c r="Z101" s="1102" t="s">
        <v>75</v>
      </c>
      <c r="AA101" s="1102" t="s">
        <v>197</v>
      </c>
      <c r="AB101" s="1103">
        <v>46041</v>
      </c>
      <c r="AC101" s="1102">
        <v>4</v>
      </c>
      <c r="AD101" s="1102" t="s">
        <v>596</v>
      </c>
      <c r="AE101" s="1102" t="s">
        <v>197</v>
      </c>
      <c r="AF101" s="1102" t="s">
        <v>77</v>
      </c>
      <c r="AG101" s="1102" t="s">
        <v>61</v>
      </c>
      <c r="AH101" s="1102" t="s">
        <v>124</v>
      </c>
      <c r="AI101" s="1103">
        <v>46048</v>
      </c>
      <c r="AJ101" s="1103">
        <v>46049</v>
      </c>
      <c r="AK101" s="1103">
        <v>46049</v>
      </c>
      <c r="AL101" s="1103">
        <v>46114</v>
      </c>
      <c r="AN101" s="1103">
        <v>46112</v>
      </c>
      <c r="AO101" s="1102" t="s">
        <v>402</v>
      </c>
      <c r="AP101" s="1102" t="s">
        <v>597</v>
      </c>
      <c r="AQ101" s="1102" t="s">
        <v>80</v>
      </c>
      <c r="AR101" s="1102" t="s">
        <v>598</v>
      </c>
      <c r="AS101" s="1102" t="s">
        <v>599</v>
      </c>
      <c r="AT101" s="1102" t="s">
        <v>599</v>
      </c>
      <c r="AU101" s="1102">
        <v>63</v>
      </c>
      <c r="AW101" s="1103">
        <v>46112</v>
      </c>
      <c r="AX101" s="1102" t="s">
        <v>84</v>
      </c>
      <c r="AY101" s="1103">
        <v>46114</v>
      </c>
      <c r="AZ101" s="1102" t="s">
        <v>152</v>
      </c>
      <c r="BA101" s="1103">
        <v>46112</v>
      </c>
      <c r="BB101" s="1102">
        <v>2026</v>
      </c>
      <c r="BC101" s="1102">
        <v>3</v>
      </c>
      <c r="BD101" s="1102">
        <v>14</v>
      </c>
      <c r="BE101" s="1102">
        <v>36</v>
      </c>
      <c r="BF101" s="1102">
        <v>936</v>
      </c>
      <c r="BG101" s="1102" t="s">
        <v>85</v>
      </c>
      <c r="BH101" s="1102" t="s">
        <v>86</v>
      </c>
    </row>
    <row r="102" spans="1:60">
      <c r="A102" s="1102" t="s">
        <v>600</v>
      </c>
      <c r="B102" s="1102" t="s">
        <v>281</v>
      </c>
      <c r="C102" s="1102" t="s">
        <v>601</v>
      </c>
      <c r="D102" s="1102" t="s">
        <v>63</v>
      </c>
      <c r="E102" s="1102" t="s">
        <v>64</v>
      </c>
      <c r="F102" s="1102" t="s">
        <v>100</v>
      </c>
      <c r="G102" s="1102" t="s">
        <v>66</v>
      </c>
      <c r="H102" s="1102" t="s">
        <v>67</v>
      </c>
      <c r="I102" s="1102" t="s">
        <v>68</v>
      </c>
      <c r="J102" s="1102" t="s">
        <v>293</v>
      </c>
      <c r="M102" s="1102" t="s">
        <v>68</v>
      </c>
      <c r="N102" s="1102" t="s">
        <v>68</v>
      </c>
      <c r="O102" s="1102" t="s">
        <v>284</v>
      </c>
      <c r="P102" s="1102" t="s">
        <v>602</v>
      </c>
      <c r="Q102" s="1102" t="s">
        <v>603</v>
      </c>
      <c r="R102" s="1102" t="s">
        <v>73</v>
      </c>
      <c r="S102" s="1102" t="s">
        <v>120</v>
      </c>
      <c r="T102" s="1102">
        <v>465</v>
      </c>
      <c r="U102" s="1102">
        <v>14430</v>
      </c>
      <c r="V102" s="1102">
        <v>6.71</v>
      </c>
      <c r="W102" s="1102">
        <v>390</v>
      </c>
      <c r="X102" s="1102">
        <v>15</v>
      </c>
      <c r="Y102" s="1102" t="s">
        <v>75</v>
      </c>
      <c r="Z102" s="1102" t="s">
        <v>75</v>
      </c>
      <c r="AB102" s="1103">
        <v>46043</v>
      </c>
      <c r="AC102" s="1102">
        <v>4</v>
      </c>
      <c r="AD102" s="1102" t="s">
        <v>604</v>
      </c>
      <c r="AF102" s="1102" t="s">
        <v>288</v>
      </c>
      <c r="AG102" s="1102" t="s">
        <v>289</v>
      </c>
      <c r="AH102" s="1102" t="s">
        <v>105</v>
      </c>
      <c r="AI102" s="1103">
        <v>46050</v>
      </c>
      <c r="AJ102" s="1103">
        <v>46050</v>
      </c>
      <c r="AK102" s="1103">
        <v>46050</v>
      </c>
      <c r="AL102" s="1103">
        <v>46087</v>
      </c>
      <c r="AM102" s="1103">
        <v>46102</v>
      </c>
      <c r="AN102" s="1103">
        <v>46102</v>
      </c>
      <c r="AO102" s="1102" t="s">
        <v>66</v>
      </c>
      <c r="AP102" s="1102" t="s">
        <v>605</v>
      </c>
      <c r="AQ102" s="1102" t="s">
        <v>161</v>
      </c>
      <c r="AR102" s="1102" t="s">
        <v>606</v>
      </c>
      <c r="AS102" s="1102" t="s">
        <v>607</v>
      </c>
      <c r="AT102" s="1102" t="s">
        <v>608</v>
      </c>
      <c r="AU102" s="1102">
        <v>52</v>
      </c>
      <c r="AW102" s="1103">
        <v>46102</v>
      </c>
      <c r="AX102" s="1102" t="s">
        <v>84</v>
      </c>
      <c r="AY102" s="1103">
        <v>46114</v>
      </c>
      <c r="AZ102" s="1102">
        <v>7</v>
      </c>
      <c r="BA102" s="1103">
        <v>46109</v>
      </c>
      <c r="BB102" s="1102">
        <v>2026</v>
      </c>
      <c r="BC102" s="1102">
        <v>3</v>
      </c>
      <c r="BD102" s="1102">
        <v>13</v>
      </c>
      <c r="BE102" s="1102">
        <v>37</v>
      </c>
      <c r="BF102" s="1102">
        <v>962</v>
      </c>
      <c r="BG102" s="1102" t="s">
        <v>108</v>
      </c>
      <c r="BH102" s="1102" t="s">
        <v>109</v>
      </c>
    </row>
    <row r="103" spans="1:60">
      <c r="A103" s="1102" t="s">
        <v>609</v>
      </c>
      <c r="B103" s="1102" t="s">
        <v>281</v>
      </c>
      <c r="C103" s="1102" t="s">
        <v>601</v>
      </c>
      <c r="D103" s="1102" t="s">
        <v>63</v>
      </c>
      <c r="E103" s="1102" t="s">
        <v>64</v>
      </c>
      <c r="F103" s="1102" t="s">
        <v>100</v>
      </c>
      <c r="G103" s="1102" t="s">
        <v>66</v>
      </c>
      <c r="H103" s="1102" t="s">
        <v>67</v>
      </c>
      <c r="I103" s="1102" t="s">
        <v>68</v>
      </c>
      <c r="J103" s="1102" t="s">
        <v>293</v>
      </c>
      <c r="M103" s="1102" t="s">
        <v>68</v>
      </c>
      <c r="N103" s="1102" t="s">
        <v>68</v>
      </c>
      <c r="O103" s="1102" t="s">
        <v>284</v>
      </c>
      <c r="P103" s="1102" t="s">
        <v>602</v>
      </c>
      <c r="Q103" s="1102" t="s">
        <v>603</v>
      </c>
      <c r="R103" s="1102" t="s">
        <v>73</v>
      </c>
      <c r="S103" s="1102" t="s">
        <v>120</v>
      </c>
      <c r="T103" s="1102">
        <v>465</v>
      </c>
      <c r="U103" s="1102">
        <v>4810</v>
      </c>
      <c r="V103" s="1102">
        <v>2.2370000000000001</v>
      </c>
      <c r="W103" s="1102">
        <v>130</v>
      </c>
      <c r="X103" s="1102">
        <v>5</v>
      </c>
      <c r="Y103" s="1102" t="s">
        <v>75</v>
      </c>
      <c r="Z103" s="1102" t="s">
        <v>75</v>
      </c>
      <c r="AB103" s="1103">
        <v>46038</v>
      </c>
      <c r="AC103" s="1102">
        <v>3</v>
      </c>
      <c r="AD103" s="1102" t="s">
        <v>610</v>
      </c>
      <c r="AF103" s="1102" t="s">
        <v>288</v>
      </c>
      <c r="AG103" s="1102" t="s">
        <v>289</v>
      </c>
      <c r="AH103" s="1102" t="s">
        <v>105</v>
      </c>
      <c r="AI103" s="1103">
        <v>46045</v>
      </c>
      <c r="AJ103" s="1103">
        <v>46045</v>
      </c>
      <c r="AK103" s="1103">
        <v>46045</v>
      </c>
      <c r="AL103" s="1103">
        <v>46087</v>
      </c>
      <c r="AM103" s="1103">
        <v>46097</v>
      </c>
      <c r="AN103" s="1103">
        <v>46100</v>
      </c>
      <c r="AO103" s="1102" t="s">
        <v>66</v>
      </c>
      <c r="AP103" s="1102" t="s">
        <v>611</v>
      </c>
      <c r="AQ103" s="1102" t="s">
        <v>161</v>
      </c>
      <c r="AR103" s="1102" t="s">
        <v>612</v>
      </c>
      <c r="AS103" s="1102" t="s">
        <v>613</v>
      </c>
      <c r="AT103" s="1102" t="s">
        <v>614</v>
      </c>
      <c r="AU103" s="1102">
        <v>55</v>
      </c>
      <c r="AW103" s="1103">
        <v>46100</v>
      </c>
      <c r="AX103" s="1102" t="s">
        <v>84</v>
      </c>
      <c r="AY103" s="1103">
        <v>46104</v>
      </c>
      <c r="AZ103" s="1102">
        <v>7</v>
      </c>
      <c r="BA103" s="1103">
        <v>46107</v>
      </c>
      <c r="BB103" s="1102">
        <v>2026</v>
      </c>
      <c r="BC103" s="1102">
        <v>3</v>
      </c>
      <c r="BD103" s="1102">
        <v>13</v>
      </c>
      <c r="BE103" s="1102">
        <v>37</v>
      </c>
      <c r="BF103" s="1102">
        <v>962</v>
      </c>
      <c r="BG103" s="1102" t="s">
        <v>108</v>
      </c>
      <c r="BH103" s="1102" t="s">
        <v>109</v>
      </c>
    </row>
    <row r="104" spans="1:60">
      <c r="A104" s="1102" t="s">
        <v>615</v>
      </c>
      <c r="B104" s="1102" t="s">
        <v>281</v>
      </c>
      <c r="C104" s="1102" t="s">
        <v>601</v>
      </c>
      <c r="D104" s="1102" t="s">
        <v>63</v>
      </c>
      <c r="E104" s="1102" t="s">
        <v>64</v>
      </c>
      <c r="F104" s="1102" t="s">
        <v>100</v>
      </c>
      <c r="G104" s="1102" t="s">
        <v>66</v>
      </c>
      <c r="H104" s="1102" t="s">
        <v>67</v>
      </c>
      <c r="I104" s="1102" t="s">
        <v>68</v>
      </c>
      <c r="J104" s="1102" t="s">
        <v>293</v>
      </c>
      <c r="M104" s="1102" t="s">
        <v>68</v>
      </c>
      <c r="N104" s="1102" t="s">
        <v>68</v>
      </c>
      <c r="O104" s="1102" t="s">
        <v>284</v>
      </c>
      <c r="P104" s="1102" t="s">
        <v>602</v>
      </c>
      <c r="Q104" s="1102" t="s">
        <v>603</v>
      </c>
      <c r="R104" s="1102" t="s">
        <v>73</v>
      </c>
      <c r="S104" s="1102" t="s">
        <v>120</v>
      </c>
      <c r="T104" s="1102">
        <v>465</v>
      </c>
      <c r="U104" s="1102">
        <v>4810</v>
      </c>
      <c r="V104" s="1102">
        <v>2.2370000000000001</v>
      </c>
      <c r="W104" s="1102">
        <v>130</v>
      </c>
      <c r="X104" s="1102">
        <v>5</v>
      </c>
      <c r="Y104" s="1102" t="s">
        <v>75</v>
      </c>
      <c r="Z104" s="1102" t="s">
        <v>75</v>
      </c>
      <c r="AB104" s="1103">
        <v>46042</v>
      </c>
      <c r="AC104" s="1102">
        <v>4</v>
      </c>
      <c r="AD104" s="1102" t="s">
        <v>616</v>
      </c>
      <c r="AF104" s="1102" t="s">
        <v>288</v>
      </c>
      <c r="AG104" s="1102" t="s">
        <v>289</v>
      </c>
      <c r="AH104" s="1102" t="s">
        <v>105</v>
      </c>
      <c r="AI104" s="1103">
        <v>46048</v>
      </c>
      <c r="AJ104" s="1103">
        <v>46048</v>
      </c>
      <c r="AK104" s="1103">
        <v>46048</v>
      </c>
      <c r="AL104" s="1103">
        <v>46090</v>
      </c>
      <c r="AM104" s="1103">
        <v>46091</v>
      </c>
      <c r="AN104" s="1103">
        <v>46089</v>
      </c>
      <c r="AO104" s="1102" t="s">
        <v>66</v>
      </c>
      <c r="AP104" s="1102" t="s">
        <v>617</v>
      </c>
      <c r="AQ104" s="1102" t="s">
        <v>161</v>
      </c>
      <c r="AR104" s="1102" t="s">
        <v>618</v>
      </c>
      <c r="AS104" s="1102" t="s">
        <v>619</v>
      </c>
      <c r="AT104" s="1102" t="s">
        <v>620</v>
      </c>
      <c r="AU104" s="1102">
        <v>41</v>
      </c>
      <c r="AW104" s="1103">
        <v>46089</v>
      </c>
      <c r="AX104" s="1102" t="s">
        <v>84</v>
      </c>
      <c r="AY104" s="1103">
        <v>46105</v>
      </c>
      <c r="AZ104" s="1102">
        <v>7</v>
      </c>
      <c r="BA104" s="1103">
        <v>46096</v>
      </c>
      <c r="BB104" s="1102">
        <v>2026</v>
      </c>
      <c r="BC104" s="1102">
        <v>3</v>
      </c>
      <c r="BD104" s="1102">
        <v>11</v>
      </c>
      <c r="BE104" s="1102">
        <v>37</v>
      </c>
      <c r="BF104" s="1102">
        <v>962</v>
      </c>
      <c r="BG104" s="1102" t="s">
        <v>108</v>
      </c>
      <c r="BH104" s="1102" t="s">
        <v>109</v>
      </c>
    </row>
    <row r="105" spans="1:60">
      <c r="A105" s="1102" t="s">
        <v>621</v>
      </c>
      <c r="B105" s="1102" t="s">
        <v>281</v>
      </c>
      <c r="C105" s="1102" t="s">
        <v>601</v>
      </c>
      <c r="D105" s="1102" t="s">
        <v>63</v>
      </c>
      <c r="E105" s="1102" t="s">
        <v>64</v>
      </c>
      <c r="F105" s="1102" t="s">
        <v>100</v>
      </c>
      <c r="G105" s="1102" t="s">
        <v>66</v>
      </c>
      <c r="H105" s="1102" t="s">
        <v>67</v>
      </c>
      <c r="I105" s="1102" t="s">
        <v>68</v>
      </c>
      <c r="J105" s="1102" t="s">
        <v>293</v>
      </c>
      <c r="M105" s="1102" t="s">
        <v>68</v>
      </c>
      <c r="N105" s="1102" t="s">
        <v>68</v>
      </c>
      <c r="O105" s="1102" t="s">
        <v>284</v>
      </c>
      <c r="P105" s="1102" t="s">
        <v>602</v>
      </c>
      <c r="Q105" s="1102" t="s">
        <v>603</v>
      </c>
      <c r="R105" s="1102" t="s">
        <v>73</v>
      </c>
      <c r="S105" s="1102" t="s">
        <v>120</v>
      </c>
      <c r="T105" s="1102">
        <v>465</v>
      </c>
      <c r="U105" s="1102">
        <v>9620</v>
      </c>
      <c r="V105" s="1102">
        <v>4.4729999999999999</v>
      </c>
      <c r="W105" s="1102">
        <v>260</v>
      </c>
      <c r="X105" s="1102">
        <v>10</v>
      </c>
      <c r="Y105" s="1102" t="s">
        <v>75</v>
      </c>
      <c r="Z105" s="1102" t="s">
        <v>75</v>
      </c>
      <c r="AB105" s="1103">
        <v>46049</v>
      </c>
      <c r="AC105" s="1102">
        <v>5</v>
      </c>
      <c r="AD105" s="1102" t="s">
        <v>622</v>
      </c>
      <c r="AF105" s="1102" t="s">
        <v>288</v>
      </c>
      <c r="AG105" s="1102" t="s">
        <v>289</v>
      </c>
      <c r="AH105" s="1102" t="s">
        <v>105</v>
      </c>
      <c r="AI105" s="1103">
        <v>46057</v>
      </c>
      <c r="AJ105" s="1103">
        <v>46067</v>
      </c>
      <c r="AK105" s="1103">
        <v>46070</v>
      </c>
      <c r="AL105" s="1103">
        <v>46094</v>
      </c>
      <c r="AM105" s="1103">
        <v>46106</v>
      </c>
      <c r="AN105" s="1103">
        <v>46107</v>
      </c>
      <c r="AO105" s="1102" t="s">
        <v>66</v>
      </c>
      <c r="AP105" s="1102" t="s">
        <v>623</v>
      </c>
      <c r="AQ105" s="1102" t="s">
        <v>161</v>
      </c>
      <c r="AR105" s="1102" t="s">
        <v>624</v>
      </c>
      <c r="AS105" s="1102" t="s">
        <v>625</v>
      </c>
      <c r="AT105" s="1102" t="s">
        <v>625</v>
      </c>
      <c r="AU105" s="1102">
        <v>37</v>
      </c>
      <c r="AW105" s="1103">
        <v>46107</v>
      </c>
      <c r="AX105" s="1102" t="s">
        <v>84</v>
      </c>
      <c r="AY105" s="1103">
        <v>46120</v>
      </c>
      <c r="AZ105" s="1102">
        <v>7</v>
      </c>
      <c r="BA105" s="1103">
        <v>46114</v>
      </c>
      <c r="BB105" s="1102">
        <v>2026</v>
      </c>
      <c r="BC105" s="1102">
        <v>4</v>
      </c>
      <c r="BD105" s="1102">
        <v>14</v>
      </c>
      <c r="BE105" s="1102">
        <v>37</v>
      </c>
      <c r="BF105" s="1102">
        <v>962</v>
      </c>
      <c r="BG105" s="1102" t="s">
        <v>108</v>
      </c>
      <c r="BH105" s="1102" t="s">
        <v>109</v>
      </c>
    </row>
    <row r="106" spans="1:60">
      <c r="A106" s="1102" t="s">
        <v>626</v>
      </c>
      <c r="B106" s="1102" t="s">
        <v>281</v>
      </c>
      <c r="C106" s="1102" t="s">
        <v>601</v>
      </c>
      <c r="D106" s="1102" t="s">
        <v>63</v>
      </c>
      <c r="E106" s="1102" t="s">
        <v>64</v>
      </c>
      <c r="F106" s="1102" t="s">
        <v>100</v>
      </c>
      <c r="G106" s="1102" t="s">
        <v>66</v>
      </c>
      <c r="H106" s="1102" t="s">
        <v>67</v>
      </c>
      <c r="I106" s="1102" t="s">
        <v>68</v>
      </c>
      <c r="J106" s="1102" t="s">
        <v>293</v>
      </c>
      <c r="M106" s="1102" t="s">
        <v>68</v>
      </c>
      <c r="N106" s="1102" t="s">
        <v>68</v>
      </c>
      <c r="O106" s="1102" t="s">
        <v>284</v>
      </c>
      <c r="P106" s="1102" t="s">
        <v>602</v>
      </c>
      <c r="Q106" s="1102" t="s">
        <v>603</v>
      </c>
      <c r="R106" s="1102" t="s">
        <v>73</v>
      </c>
      <c r="S106" s="1102" t="s">
        <v>120</v>
      </c>
      <c r="T106" s="1102">
        <v>465</v>
      </c>
      <c r="U106" s="1102">
        <v>9620</v>
      </c>
      <c r="V106" s="1102">
        <v>4.4729999999999999</v>
      </c>
      <c r="W106" s="1102">
        <v>260</v>
      </c>
      <c r="X106" s="1102">
        <v>10</v>
      </c>
      <c r="Y106" s="1102" t="s">
        <v>75</v>
      </c>
      <c r="Z106" s="1102" t="s">
        <v>75</v>
      </c>
      <c r="AB106" s="1103">
        <v>46050</v>
      </c>
      <c r="AC106" s="1102">
        <v>5</v>
      </c>
      <c r="AD106" s="1102" t="s">
        <v>627</v>
      </c>
      <c r="AF106" s="1102" t="s">
        <v>288</v>
      </c>
      <c r="AG106" s="1102" t="s">
        <v>289</v>
      </c>
      <c r="AH106" s="1102" t="s">
        <v>105</v>
      </c>
      <c r="AI106" s="1103">
        <v>46057</v>
      </c>
      <c r="AJ106" s="1103">
        <v>46067</v>
      </c>
      <c r="AK106" s="1103">
        <v>46070</v>
      </c>
      <c r="AL106" s="1103">
        <v>46094</v>
      </c>
      <c r="AM106" s="1103">
        <v>46106</v>
      </c>
      <c r="AN106" s="1103">
        <v>46107</v>
      </c>
      <c r="AO106" s="1102" t="s">
        <v>66</v>
      </c>
      <c r="AP106" s="1102" t="s">
        <v>623</v>
      </c>
      <c r="AQ106" s="1102" t="s">
        <v>161</v>
      </c>
      <c r="AR106" s="1102" t="s">
        <v>628</v>
      </c>
      <c r="AS106" s="1102" t="s">
        <v>629</v>
      </c>
      <c r="AT106" s="1102" t="s">
        <v>629</v>
      </c>
      <c r="AU106" s="1102">
        <v>37</v>
      </c>
      <c r="AW106" s="1103">
        <v>46107</v>
      </c>
      <c r="AX106" s="1102" t="s">
        <v>84</v>
      </c>
      <c r="AY106" s="1103">
        <v>46120</v>
      </c>
      <c r="AZ106" s="1102">
        <v>7</v>
      </c>
      <c r="BA106" s="1103">
        <v>46114</v>
      </c>
      <c r="BB106" s="1102">
        <v>2026</v>
      </c>
      <c r="BC106" s="1102">
        <v>4</v>
      </c>
      <c r="BD106" s="1102">
        <v>14</v>
      </c>
      <c r="BE106" s="1102">
        <v>37</v>
      </c>
      <c r="BF106" s="1102">
        <v>962</v>
      </c>
      <c r="BG106" s="1102" t="s">
        <v>108</v>
      </c>
      <c r="BH106" s="1102" t="s">
        <v>109</v>
      </c>
    </row>
    <row r="107" spans="1:60">
      <c r="A107" s="1102" t="s">
        <v>630</v>
      </c>
      <c r="B107" s="1102" t="s">
        <v>111</v>
      </c>
      <c r="C107" s="1102" t="s">
        <v>168</v>
      </c>
      <c r="D107" s="1102" t="s">
        <v>63</v>
      </c>
      <c r="E107" s="1102" t="s">
        <v>64</v>
      </c>
      <c r="F107" s="1102" t="s">
        <v>65</v>
      </c>
      <c r="G107" s="1102" t="s">
        <v>66</v>
      </c>
      <c r="H107" s="1102" t="s">
        <v>67</v>
      </c>
      <c r="I107" s="1102" t="s">
        <v>68</v>
      </c>
      <c r="J107" s="1102" t="s">
        <v>232</v>
      </c>
      <c r="M107" s="1102" t="s">
        <v>68</v>
      </c>
      <c r="N107" s="1102" t="s">
        <v>68</v>
      </c>
      <c r="O107" s="1102" t="s">
        <v>170</v>
      </c>
      <c r="P107" s="1102" t="s">
        <v>171</v>
      </c>
      <c r="Q107" s="1102" t="s">
        <v>172</v>
      </c>
      <c r="R107" s="1102" t="s">
        <v>73</v>
      </c>
      <c r="S107" s="1102" t="s">
        <v>120</v>
      </c>
      <c r="T107" s="1102">
        <v>555</v>
      </c>
      <c r="U107" s="1102">
        <v>3300</v>
      </c>
      <c r="V107" s="1102">
        <v>1.8320000000000001</v>
      </c>
      <c r="W107" s="1102">
        <v>100</v>
      </c>
      <c r="X107" s="1102">
        <v>5</v>
      </c>
      <c r="Y107" s="1102" t="s">
        <v>75</v>
      </c>
      <c r="Z107" s="1102" t="s">
        <v>75</v>
      </c>
      <c r="AB107" s="1103">
        <v>46048</v>
      </c>
      <c r="AC107" s="1102">
        <v>5</v>
      </c>
      <c r="AD107" s="1102" t="s">
        <v>631</v>
      </c>
      <c r="AF107" s="1102" t="s">
        <v>122</v>
      </c>
      <c r="AG107" s="1102" t="s">
        <v>123</v>
      </c>
      <c r="AH107" s="1102" t="s">
        <v>356</v>
      </c>
      <c r="AI107" s="1103">
        <v>46054</v>
      </c>
      <c r="AJ107" s="1103">
        <v>46054</v>
      </c>
      <c r="AK107" s="1103">
        <v>46054</v>
      </c>
      <c r="AL107" s="1103">
        <v>46091</v>
      </c>
      <c r="AM107" s="1103">
        <v>46109</v>
      </c>
      <c r="AN107" s="1103">
        <v>46110</v>
      </c>
      <c r="AO107" s="1102" t="s">
        <v>66</v>
      </c>
      <c r="AP107" s="1102" t="s">
        <v>632</v>
      </c>
      <c r="AQ107" s="1102" t="s">
        <v>161</v>
      </c>
      <c r="AR107" s="1102" t="s">
        <v>633</v>
      </c>
      <c r="AS107" s="1102" t="s">
        <v>634</v>
      </c>
      <c r="AT107" s="1102" t="s">
        <v>634</v>
      </c>
      <c r="AU107" s="1102">
        <v>56</v>
      </c>
      <c r="AW107" s="1103">
        <v>46110</v>
      </c>
      <c r="AX107" s="1102" t="s">
        <v>84</v>
      </c>
      <c r="AY107" s="1103">
        <v>46121</v>
      </c>
      <c r="AZ107" s="1102">
        <v>8</v>
      </c>
      <c r="BA107" s="1103">
        <v>46118</v>
      </c>
      <c r="BB107" s="1102">
        <v>2026</v>
      </c>
      <c r="BC107" s="1102">
        <v>4</v>
      </c>
      <c r="BD107" s="1102">
        <v>15</v>
      </c>
      <c r="BE107" s="1102">
        <v>33</v>
      </c>
      <c r="BF107" s="1102">
        <v>660</v>
      </c>
      <c r="BG107" s="1102" t="s">
        <v>108</v>
      </c>
      <c r="BH107" s="1102" t="s">
        <v>109</v>
      </c>
    </row>
    <row r="108" spans="1:60">
      <c r="A108" s="1102" t="s">
        <v>635</v>
      </c>
      <c r="B108" s="1102" t="s">
        <v>111</v>
      </c>
      <c r="C108" s="1102" t="s">
        <v>461</v>
      </c>
      <c r="D108" s="1102" t="s">
        <v>63</v>
      </c>
      <c r="E108" s="1102" t="s">
        <v>64</v>
      </c>
      <c r="F108" s="1102" t="s">
        <v>65</v>
      </c>
      <c r="G108" s="1102" t="s">
        <v>66</v>
      </c>
      <c r="H108" s="1102" t="s">
        <v>67</v>
      </c>
      <c r="I108" s="1102" t="s">
        <v>68</v>
      </c>
      <c r="J108" s="1102" t="s">
        <v>232</v>
      </c>
      <c r="M108" s="1102" t="s">
        <v>68</v>
      </c>
      <c r="N108" s="1102" t="s">
        <v>68</v>
      </c>
      <c r="O108" s="1102" t="s">
        <v>170</v>
      </c>
      <c r="P108" s="1102" t="s">
        <v>462</v>
      </c>
      <c r="Q108" s="1102" t="s">
        <v>463</v>
      </c>
      <c r="R108" s="1102" t="s">
        <v>73</v>
      </c>
      <c r="S108" s="1102" t="s">
        <v>464</v>
      </c>
      <c r="T108" s="1102">
        <v>550</v>
      </c>
      <c r="U108" s="1102">
        <v>1320</v>
      </c>
      <c r="V108" s="1102">
        <v>0.72599999999999998</v>
      </c>
      <c r="W108" s="1102">
        <v>40</v>
      </c>
      <c r="X108" s="1102">
        <v>2</v>
      </c>
      <c r="Y108" s="1102" t="s">
        <v>75</v>
      </c>
      <c r="Z108" s="1102" t="s">
        <v>75</v>
      </c>
      <c r="AB108" s="1103">
        <v>46048</v>
      </c>
      <c r="AC108" s="1102">
        <v>5</v>
      </c>
      <c r="AD108" s="1102" t="s">
        <v>636</v>
      </c>
      <c r="AF108" s="1102" t="s">
        <v>122</v>
      </c>
      <c r="AG108" s="1102" t="s">
        <v>123</v>
      </c>
      <c r="AH108" s="1102" t="s">
        <v>356</v>
      </c>
      <c r="AI108" s="1103">
        <v>46054</v>
      </c>
      <c r="AJ108" s="1103">
        <v>46054</v>
      </c>
      <c r="AK108" s="1103">
        <v>46054</v>
      </c>
      <c r="AL108" s="1103">
        <v>46091</v>
      </c>
      <c r="AM108" s="1103">
        <v>46109</v>
      </c>
      <c r="AN108" s="1103">
        <v>46110</v>
      </c>
      <c r="AO108" s="1102" t="s">
        <v>66</v>
      </c>
      <c r="AP108" s="1102" t="s">
        <v>632</v>
      </c>
      <c r="AQ108" s="1102" t="s">
        <v>161</v>
      </c>
      <c r="AR108" s="1102" t="s">
        <v>633</v>
      </c>
      <c r="AS108" s="1102" t="s">
        <v>634</v>
      </c>
      <c r="AT108" s="1102" t="s">
        <v>634</v>
      </c>
      <c r="AU108" s="1102">
        <v>56</v>
      </c>
      <c r="AW108" s="1103">
        <v>46110</v>
      </c>
      <c r="AX108" s="1102" t="s">
        <v>84</v>
      </c>
      <c r="AY108" s="1103">
        <v>46121</v>
      </c>
      <c r="AZ108" s="1102">
        <v>8</v>
      </c>
      <c r="BA108" s="1103">
        <v>46118</v>
      </c>
      <c r="BB108" s="1102">
        <v>2026</v>
      </c>
      <c r="BC108" s="1102">
        <v>4</v>
      </c>
      <c r="BD108" s="1102">
        <v>15</v>
      </c>
      <c r="BE108" s="1102">
        <v>33</v>
      </c>
      <c r="BF108" s="1102">
        <v>660</v>
      </c>
      <c r="BG108" s="1102" t="s">
        <v>108</v>
      </c>
      <c r="BH108" s="1102" t="s">
        <v>109</v>
      </c>
    </row>
    <row r="109" spans="1:60">
      <c r="A109" s="1102" t="s">
        <v>637</v>
      </c>
      <c r="B109" s="1102" t="s">
        <v>111</v>
      </c>
      <c r="C109" s="1102" t="s">
        <v>638</v>
      </c>
      <c r="D109" s="1102" t="s">
        <v>63</v>
      </c>
      <c r="E109" s="1102" t="s">
        <v>64</v>
      </c>
      <c r="F109" s="1102" t="s">
        <v>65</v>
      </c>
      <c r="G109" s="1102" t="s">
        <v>66</v>
      </c>
      <c r="H109" s="1102" t="s">
        <v>67</v>
      </c>
      <c r="I109" s="1102" t="s">
        <v>68</v>
      </c>
      <c r="J109" s="1102" t="s">
        <v>232</v>
      </c>
      <c r="M109" s="1102" t="s">
        <v>68</v>
      </c>
      <c r="N109" s="1102" t="s">
        <v>68</v>
      </c>
      <c r="O109" s="1102" t="s">
        <v>473</v>
      </c>
      <c r="P109" s="1102" t="s">
        <v>474</v>
      </c>
      <c r="Q109" s="1102" t="s">
        <v>475</v>
      </c>
      <c r="R109" s="1102" t="s">
        <v>73</v>
      </c>
      <c r="S109" s="1102" t="s">
        <v>74</v>
      </c>
      <c r="T109" s="1102">
        <v>460</v>
      </c>
      <c r="U109" s="1102">
        <v>2592</v>
      </c>
      <c r="V109" s="1102">
        <v>1.1919999999999999</v>
      </c>
      <c r="W109" s="1102">
        <v>72</v>
      </c>
      <c r="X109" s="1102">
        <v>3</v>
      </c>
      <c r="Y109" s="1102" t="s">
        <v>75</v>
      </c>
      <c r="Z109" s="1102" t="s">
        <v>75</v>
      </c>
      <c r="AB109" s="1103">
        <v>46048</v>
      </c>
      <c r="AC109" s="1102">
        <v>5</v>
      </c>
      <c r="AD109" s="1102" t="s">
        <v>639</v>
      </c>
      <c r="AF109" s="1102" t="s">
        <v>122</v>
      </c>
      <c r="AG109" s="1102" t="s">
        <v>123</v>
      </c>
      <c r="AH109" s="1102" t="s">
        <v>356</v>
      </c>
      <c r="AI109" s="1103">
        <v>46054</v>
      </c>
      <c r="AJ109" s="1103">
        <v>46054</v>
      </c>
      <c r="AK109" s="1103">
        <v>46054</v>
      </c>
      <c r="AL109" s="1103">
        <v>46091</v>
      </c>
      <c r="AM109" s="1103">
        <v>46109</v>
      </c>
      <c r="AN109" s="1103">
        <v>46110</v>
      </c>
      <c r="AO109" s="1102" t="s">
        <v>66</v>
      </c>
      <c r="AP109" s="1102" t="s">
        <v>632</v>
      </c>
      <c r="AQ109" s="1102" t="s">
        <v>161</v>
      </c>
      <c r="AR109" s="1102" t="s">
        <v>633</v>
      </c>
      <c r="AS109" s="1102" t="s">
        <v>634</v>
      </c>
      <c r="AT109" s="1102" t="s">
        <v>634</v>
      </c>
      <c r="AU109" s="1102">
        <v>56</v>
      </c>
      <c r="AW109" s="1103">
        <v>46110</v>
      </c>
      <c r="AX109" s="1102" t="s">
        <v>84</v>
      </c>
      <c r="AY109" s="1103">
        <v>46121</v>
      </c>
      <c r="AZ109" s="1102">
        <v>8</v>
      </c>
      <c r="BA109" s="1103">
        <v>46118</v>
      </c>
      <c r="BB109" s="1102">
        <v>2026</v>
      </c>
      <c r="BC109" s="1102">
        <v>4</v>
      </c>
      <c r="BD109" s="1102">
        <v>15</v>
      </c>
      <c r="BE109" s="1102">
        <v>36</v>
      </c>
      <c r="BF109" s="1102">
        <v>864</v>
      </c>
      <c r="BG109" s="1102" t="s">
        <v>85</v>
      </c>
      <c r="BH109" s="1102" t="s">
        <v>109</v>
      </c>
    </row>
    <row r="110" spans="1:60">
      <c r="A110" s="1102" t="s">
        <v>640</v>
      </c>
      <c r="B110" s="1102" t="s">
        <v>111</v>
      </c>
      <c r="C110" s="1102" t="s">
        <v>472</v>
      </c>
      <c r="D110" s="1102" t="s">
        <v>63</v>
      </c>
      <c r="E110" s="1102" t="s">
        <v>64</v>
      </c>
      <c r="F110" s="1102" t="s">
        <v>100</v>
      </c>
      <c r="G110" s="1102" t="s">
        <v>66</v>
      </c>
      <c r="H110" s="1102" t="s">
        <v>67</v>
      </c>
      <c r="I110" s="1102" t="s">
        <v>68</v>
      </c>
      <c r="J110" s="1102" t="s">
        <v>483</v>
      </c>
      <c r="M110" s="1102" t="s">
        <v>68</v>
      </c>
      <c r="N110" s="1102" t="s">
        <v>68</v>
      </c>
      <c r="O110" s="1102" t="s">
        <v>473</v>
      </c>
      <c r="P110" s="1102" t="s">
        <v>474</v>
      </c>
      <c r="Q110" s="1102" t="s">
        <v>475</v>
      </c>
      <c r="R110" s="1102" t="s">
        <v>73</v>
      </c>
      <c r="S110" s="1102" t="s">
        <v>74</v>
      </c>
      <c r="T110" s="1102">
        <v>460</v>
      </c>
      <c r="U110" s="1102">
        <v>2592</v>
      </c>
      <c r="V110" s="1102">
        <v>1.1919999999999999</v>
      </c>
      <c r="W110" s="1102">
        <v>72</v>
      </c>
      <c r="X110" s="1102">
        <v>3</v>
      </c>
      <c r="Y110" s="1102" t="s">
        <v>75</v>
      </c>
      <c r="Z110" s="1102" t="s">
        <v>75</v>
      </c>
      <c r="AB110" s="1103">
        <v>46050</v>
      </c>
      <c r="AC110" s="1102">
        <v>5</v>
      </c>
      <c r="AD110" s="1102" t="s">
        <v>641</v>
      </c>
      <c r="AF110" s="1102" t="s">
        <v>122</v>
      </c>
      <c r="AG110" s="1102" t="s">
        <v>123</v>
      </c>
      <c r="AH110" s="1102" t="s">
        <v>105</v>
      </c>
      <c r="AI110" s="1103">
        <v>46055</v>
      </c>
      <c r="AJ110" s="1103">
        <v>46059</v>
      </c>
      <c r="AK110" s="1103">
        <v>46059</v>
      </c>
      <c r="AL110" s="1103">
        <v>46092</v>
      </c>
      <c r="AM110" s="1103">
        <v>46102</v>
      </c>
      <c r="AN110" s="1103">
        <v>46103</v>
      </c>
      <c r="AO110" s="1102" t="s">
        <v>66</v>
      </c>
      <c r="AP110" s="1102" t="s">
        <v>642</v>
      </c>
      <c r="AQ110" s="1102" t="s">
        <v>80</v>
      </c>
      <c r="AR110" s="1102" t="s">
        <v>643</v>
      </c>
      <c r="AS110" s="1102" t="s">
        <v>644</v>
      </c>
      <c r="AT110" s="1102" t="s">
        <v>644</v>
      </c>
      <c r="AU110" s="1102">
        <v>44</v>
      </c>
      <c r="AW110" s="1103">
        <v>46103</v>
      </c>
      <c r="AX110" s="1102" t="s">
        <v>84</v>
      </c>
      <c r="AY110" s="1103">
        <v>46115</v>
      </c>
      <c r="AZ110" s="1102">
        <v>7</v>
      </c>
      <c r="BA110" s="1103">
        <v>46110</v>
      </c>
      <c r="BB110" s="1102">
        <v>2026</v>
      </c>
      <c r="BC110" s="1102">
        <v>3</v>
      </c>
      <c r="BD110" s="1102">
        <v>13</v>
      </c>
      <c r="BE110" s="1102">
        <v>36</v>
      </c>
      <c r="BF110" s="1102">
        <v>864</v>
      </c>
      <c r="BG110" s="1102" t="s">
        <v>85</v>
      </c>
      <c r="BH110" s="1102" t="s">
        <v>109</v>
      </c>
    </row>
    <row r="111" spans="1:60">
      <c r="A111" s="1102" t="s">
        <v>645</v>
      </c>
      <c r="B111" s="1102" t="s">
        <v>111</v>
      </c>
      <c r="C111" s="1102" t="s">
        <v>525</v>
      </c>
      <c r="D111" s="1102" t="s">
        <v>63</v>
      </c>
      <c r="E111" s="1102" t="s">
        <v>64</v>
      </c>
      <c r="F111" s="1102" t="s">
        <v>114</v>
      </c>
      <c r="G111" s="1102" t="s">
        <v>66</v>
      </c>
      <c r="H111" s="1102" t="s">
        <v>115</v>
      </c>
      <c r="I111" s="1102" t="s">
        <v>68</v>
      </c>
      <c r="J111" s="1102" t="s">
        <v>646</v>
      </c>
      <c r="M111" s="1102" t="s">
        <v>68</v>
      </c>
      <c r="N111" s="1102" t="s">
        <v>68</v>
      </c>
      <c r="O111" s="1102" t="s">
        <v>473</v>
      </c>
      <c r="P111" s="1102" t="s">
        <v>529</v>
      </c>
      <c r="Q111" s="1102" t="s">
        <v>530</v>
      </c>
      <c r="R111" s="1102" t="s">
        <v>73</v>
      </c>
      <c r="S111" s="1102" t="s">
        <v>74</v>
      </c>
      <c r="T111" s="1102">
        <v>455</v>
      </c>
      <c r="U111" s="1102">
        <v>2592</v>
      </c>
      <c r="V111" s="1102">
        <v>1.179</v>
      </c>
      <c r="W111" s="1102">
        <v>72</v>
      </c>
      <c r="X111" s="1102">
        <v>3</v>
      </c>
      <c r="Y111" s="1102" t="s">
        <v>75</v>
      </c>
      <c r="Z111" s="1102" t="s">
        <v>75</v>
      </c>
      <c r="AB111" s="1103">
        <v>46050</v>
      </c>
      <c r="AC111" s="1102">
        <v>5</v>
      </c>
      <c r="AD111" s="1102" t="s">
        <v>647</v>
      </c>
      <c r="AF111" s="1102" t="s">
        <v>122</v>
      </c>
      <c r="AG111" s="1102" t="s">
        <v>123</v>
      </c>
      <c r="AH111" s="1102" t="s">
        <v>124</v>
      </c>
      <c r="AI111" s="1103">
        <v>46055</v>
      </c>
      <c r="AJ111" s="1103">
        <v>46056</v>
      </c>
      <c r="AK111" s="1103">
        <v>46056</v>
      </c>
      <c r="AL111" s="1103">
        <v>46093</v>
      </c>
      <c r="AM111" s="1103">
        <v>46095</v>
      </c>
      <c r="AN111" s="1103">
        <v>46095</v>
      </c>
      <c r="AO111" s="1102" t="s">
        <v>66</v>
      </c>
      <c r="AP111" s="1102" t="s">
        <v>648</v>
      </c>
      <c r="AQ111" s="1102" t="s">
        <v>80</v>
      </c>
      <c r="AR111" s="1102" t="s">
        <v>649</v>
      </c>
      <c r="AS111" s="1102" t="s">
        <v>650</v>
      </c>
      <c r="AT111" s="1102" t="s">
        <v>650</v>
      </c>
      <c r="AU111" s="1102">
        <v>39</v>
      </c>
      <c r="AW111" s="1103">
        <v>46095</v>
      </c>
      <c r="AX111" s="1102" t="s">
        <v>84</v>
      </c>
      <c r="AY111" s="1103">
        <v>46111</v>
      </c>
      <c r="AZ111" s="1102">
        <v>9</v>
      </c>
      <c r="BA111" s="1103">
        <v>46104</v>
      </c>
      <c r="BB111" s="1102">
        <v>2026</v>
      </c>
      <c r="BC111" s="1102">
        <v>3</v>
      </c>
      <c r="BD111" s="1102">
        <v>13</v>
      </c>
      <c r="BE111" s="1102">
        <v>36</v>
      </c>
      <c r="BF111" s="1102">
        <v>864</v>
      </c>
      <c r="BG111" s="1102" t="s">
        <v>85</v>
      </c>
      <c r="BH111" s="1102" t="s">
        <v>86</v>
      </c>
    </row>
    <row r="112" spans="1:60">
      <c r="A112" s="1102" t="s">
        <v>651</v>
      </c>
      <c r="B112" s="1102" t="s">
        <v>111</v>
      </c>
      <c r="C112" s="1102" t="s">
        <v>472</v>
      </c>
      <c r="D112" s="1102" t="s">
        <v>63</v>
      </c>
      <c r="E112" s="1102" t="s">
        <v>64</v>
      </c>
      <c r="F112" s="1102" t="s">
        <v>65</v>
      </c>
      <c r="G112" s="1102" t="s">
        <v>66</v>
      </c>
      <c r="H112" s="1102" t="s">
        <v>67</v>
      </c>
      <c r="I112" s="1102" t="s">
        <v>68</v>
      </c>
      <c r="J112" s="1102" t="s">
        <v>232</v>
      </c>
      <c r="M112" s="1102" t="s">
        <v>68</v>
      </c>
      <c r="N112" s="1102" t="s">
        <v>68</v>
      </c>
      <c r="O112" s="1102" t="s">
        <v>473</v>
      </c>
      <c r="P112" s="1102" t="s">
        <v>474</v>
      </c>
      <c r="Q112" s="1102" t="s">
        <v>475</v>
      </c>
      <c r="R112" s="1102" t="s">
        <v>73</v>
      </c>
      <c r="S112" s="1102" t="s">
        <v>74</v>
      </c>
      <c r="T112" s="1102">
        <v>460</v>
      </c>
      <c r="U112" s="1102">
        <v>2592</v>
      </c>
      <c r="V112" s="1102">
        <v>1.1919999999999999</v>
      </c>
      <c r="W112" s="1102">
        <v>72</v>
      </c>
      <c r="X112" s="1102">
        <v>3</v>
      </c>
      <c r="Y112" s="1102" t="s">
        <v>75</v>
      </c>
      <c r="Z112" s="1102" t="s">
        <v>75</v>
      </c>
      <c r="AB112" s="1103">
        <v>46050</v>
      </c>
      <c r="AC112" s="1102">
        <v>5</v>
      </c>
      <c r="AD112" s="1102" t="s">
        <v>652</v>
      </c>
      <c r="AF112" s="1102" t="s">
        <v>122</v>
      </c>
      <c r="AG112" s="1102" t="s">
        <v>123</v>
      </c>
      <c r="AH112" s="1102" t="s">
        <v>78</v>
      </c>
      <c r="AI112" s="1103">
        <v>46055</v>
      </c>
      <c r="AJ112" s="1103">
        <v>46056</v>
      </c>
      <c r="AK112" s="1103">
        <v>46056</v>
      </c>
      <c r="AL112" s="1103">
        <v>46098</v>
      </c>
      <c r="AM112" s="1103">
        <v>46101</v>
      </c>
      <c r="AN112" s="1103">
        <v>46103</v>
      </c>
      <c r="AO112" s="1102" t="s">
        <v>66</v>
      </c>
      <c r="AP112" s="1102" t="s">
        <v>653</v>
      </c>
      <c r="AQ112" s="1102" t="s">
        <v>80</v>
      </c>
      <c r="AR112" s="1102" t="s">
        <v>654</v>
      </c>
      <c r="AS112" s="1102" t="s">
        <v>655</v>
      </c>
      <c r="AT112" s="1102" t="s">
        <v>655</v>
      </c>
      <c r="AU112" s="1102">
        <v>47</v>
      </c>
      <c r="AW112" s="1103">
        <v>46103</v>
      </c>
      <c r="AX112" s="1102" t="s">
        <v>84</v>
      </c>
      <c r="AY112" s="1103">
        <v>46115</v>
      </c>
      <c r="AZ112" s="1102">
        <v>8</v>
      </c>
      <c r="BA112" s="1103">
        <v>46111</v>
      </c>
      <c r="BB112" s="1102">
        <v>2026</v>
      </c>
      <c r="BC112" s="1102">
        <v>3</v>
      </c>
      <c r="BD112" s="1102">
        <v>14</v>
      </c>
      <c r="BE112" s="1102">
        <v>36</v>
      </c>
      <c r="BF112" s="1102">
        <v>864</v>
      </c>
      <c r="BG112" s="1102" t="s">
        <v>85</v>
      </c>
      <c r="BH112" s="1102" t="s">
        <v>86</v>
      </c>
    </row>
    <row r="113" spans="1:60">
      <c r="A113" s="1102" t="s">
        <v>461</v>
      </c>
      <c r="B113" s="1102" t="s">
        <v>111</v>
      </c>
      <c r="C113" s="1102" t="s">
        <v>203</v>
      </c>
      <c r="D113" s="1102" t="s">
        <v>63</v>
      </c>
      <c r="E113" s="1102" t="s">
        <v>64</v>
      </c>
      <c r="F113" s="1102" t="s">
        <v>65</v>
      </c>
      <c r="G113" s="1102" t="s">
        <v>66</v>
      </c>
      <c r="H113" s="1102" t="s">
        <v>67</v>
      </c>
      <c r="I113" s="1102" t="s">
        <v>68</v>
      </c>
      <c r="J113" s="1102" t="s">
        <v>131</v>
      </c>
      <c r="M113" s="1102" t="s">
        <v>68</v>
      </c>
      <c r="N113" s="1102" t="s">
        <v>68</v>
      </c>
      <c r="O113" s="1102" t="s">
        <v>170</v>
      </c>
      <c r="P113" s="1102" t="s">
        <v>462</v>
      </c>
      <c r="Q113" s="1102" t="s">
        <v>463</v>
      </c>
      <c r="R113" s="1102" t="s">
        <v>73</v>
      </c>
      <c r="S113" s="1102" t="s">
        <v>464</v>
      </c>
      <c r="T113" s="1102">
        <v>550</v>
      </c>
      <c r="U113" s="1102">
        <v>2640</v>
      </c>
      <c r="V113" s="1102">
        <v>1.452</v>
      </c>
      <c r="W113" s="1102">
        <v>80</v>
      </c>
      <c r="X113" s="1102">
        <v>4</v>
      </c>
      <c r="Y113" s="1102" t="s">
        <v>75</v>
      </c>
      <c r="Z113" s="1102" t="s">
        <v>75</v>
      </c>
      <c r="AB113" s="1103">
        <v>46049</v>
      </c>
      <c r="AC113" s="1102">
        <v>5</v>
      </c>
      <c r="AD113" s="1102" t="s">
        <v>656</v>
      </c>
      <c r="AF113" s="1102" t="s">
        <v>122</v>
      </c>
      <c r="AG113" s="1102" t="s">
        <v>123</v>
      </c>
      <c r="AH113" s="1102" t="s">
        <v>78</v>
      </c>
      <c r="AI113" s="1103">
        <v>46055</v>
      </c>
      <c r="AJ113" s="1103">
        <v>46058</v>
      </c>
      <c r="AK113" s="1103">
        <v>46058</v>
      </c>
      <c r="AL113" s="1103">
        <v>46099</v>
      </c>
      <c r="AM113" s="1103">
        <v>46112</v>
      </c>
      <c r="AN113" s="1103">
        <v>46120</v>
      </c>
      <c r="AO113" s="1102" t="s">
        <v>66</v>
      </c>
      <c r="AP113" s="1102" t="s">
        <v>657</v>
      </c>
      <c r="AQ113" s="1102" t="s">
        <v>80</v>
      </c>
      <c r="AR113" s="1102" t="s">
        <v>658</v>
      </c>
      <c r="AS113" s="1102" t="s">
        <v>659</v>
      </c>
      <c r="AT113" s="1102" t="s">
        <v>659</v>
      </c>
      <c r="AU113" s="1102">
        <v>62</v>
      </c>
      <c r="AW113" s="1103">
        <v>46120</v>
      </c>
      <c r="AX113" s="1102" t="s">
        <v>84</v>
      </c>
      <c r="AY113" s="1103">
        <v>46132</v>
      </c>
      <c r="AZ113" s="1102">
        <v>8</v>
      </c>
      <c r="BA113" s="1103">
        <v>46128</v>
      </c>
      <c r="BB113" s="1102">
        <v>2026</v>
      </c>
      <c r="BC113" s="1102">
        <v>4</v>
      </c>
      <c r="BD113" s="1102">
        <v>16</v>
      </c>
      <c r="BE113" s="1102">
        <v>33</v>
      </c>
      <c r="BF113" s="1102">
        <v>660</v>
      </c>
      <c r="BG113" s="1102" t="s">
        <v>108</v>
      </c>
      <c r="BH113" s="1102" t="s">
        <v>86</v>
      </c>
    </row>
    <row r="114" spans="1:60">
      <c r="A114" s="1102" t="s">
        <v>660</v>
      </c>
      <c r="B114" s="1102" t="s">
        <v>111</v>
      </c>
      <c r="C114" s="1102" t="s">
        <v>461</v>
      </c>
      <c r="D114" s="1102" t="s">
        <v>63</v>
      </c>
      <c r="E114" s="1102" t="s">
        <v>64</v>
      </c>
      <c r="F114" s="1102" t="s">
        <v>100</v>
      </c>
      <c r="G114" s="1102" t="s">
        <v>66</v>
      </c>
      <c r="H114" s="1102" t="s">
        <v>67</v>
      </c>
      <c r="I114" s="1102" t="s">
        <v>68</v>
      </c>
      <c r="J114" s="1102" t="s">
        <v>169</v>
      </c>
      <c r="M114" s="1102" t="s">
        <v>68</v>
      </c>
      <c r="N114" s="1102" t="s">
        <v>68</v>
      </c>
      <c r="O114" s="1102" t="s">
        <v>170</v>
      </c>
      <c r="P114" s="1102" t="s">
        <v>462</v>
      </c>
      <c r="Q114" s="1102" t="s">
        <v>463</v>
      </c>
      <c r="R114" s="1102" t="s">
        <v>73</v>
      </c>
      <c r="S114" s="1102" t="s">
        <v>464</v>
      </c>
      <c r="T114" s="1102">
        <v>550</v>
      </c>
      <c r="U114" s="1102">
        <v>660</v>
      </c>
      <c r="V114" s="1102">
        <v>0.36299999999999999</v>
      </c>
      <c r="W114" s="1102">
        <v>20</v>
      </c>
      <c r="X114" s="1102">
        <v>1</v>
      </c>
      <c r="Y114" s="1102" t="s">
        <v>75</v>
      </c>
      <c r="Z114" s="1102" t="s">
        <v>75</v>
      </c>
      <c r="AB114" s="1103">
        <v>46049</v>
      </c>
      <c r="AC114" s="1102">
        <v>5</v>
      </c>
      <c r="AD114" s="1102" t="s">
        <v>661</v>
      </c>
      <c r="AF114" s="1102" t="s">
        <v>122</v>
      </c>
      <c r="AG114" s="1102" t="s">
        <v>123</v>
      </c>
      <c r="AH114" s="1102" t="s">
        <v>105</v>
      </c>
      <c r="AI114" s="1103">
        <v>46055</v>
      </c>
      <c r="AJ114" s="1103">
        <v>46058</v>
      </c>
      <c r="AK114" s="1103">
        <v>46058</v>
      </c>
      <c r="AL114" s="1103">
        <v>46101</v>
      </c>
      <c r="AM114" s="1103">
        <v>46111</v>
      </c>
      <c r="AN114" s="1103">
        <v>46118</v>
      </c>
      <c r="AO114" s="1102" t="s">
        <v>66</v>
      </c>
      <c r="AP114" s="1102" t="s">
        <v>657</v>
      </c>
      <c r="AQ114" s="1102" t="s">
        <v>80</v>
      </c>
      <c r="AR114" s="1102" t="s">
        <v>662</v>
      </c>
      <c r="AS114" s="1102" t="s">
        <v>663</v>
      </c>
      <c r="AT114" s="1102" t="s">
        <v>663</v>
      </c>
      <c r="AU114" s="1102">
        <v>60</v>
      </c>
      <c r="AW114" s="1103">
        <v>46118</v>
      </c>
      <c r="AX114" s="1102" t="s">
        <v>84</v>
      </c>
      <c r="AY114" s="1103">
        <v>46133</v>
      </c>
      <c r="AZ114" s="1102">
        <v>7</v>
      </c>
      <c r="BA114" s="1103">
        <v>46125</v>
      </c>
      <c r="BB114" s="1102">
        <v>2026</v>
      </c>
      <c r="BC114" s="1102">
        <v>4</v>
      </c>
      <c r="BD114" s="1102">
        <v>16</v>
      </c>
      <c r="BE114" s="1102">
        <v>33</v>
      </c>
      <c r="BF114" s="1102">
        <v>660</v>
      </c>
      <c r="BG114" s="1102" t="s">
        <v>108</v>
      </c>
      <c r="BH114" s="1102" t="s">
        <v>109</v>
      </c>
    </row>
    <row r="115" spans="1:60">
      <c r="A115" s="1102" t="s">
        <v>664</v>
      </c>
      <c r="B115" s="1102" t="s">
        <v>111</v>
      </c>
      <c r="C115" s="1102" t="s">
        <v>168</v>
      </c>
      <c r="D115" s="1102" t="s">
        <v>63</v>
      </c>
      <c r="E115" s="1102" t="s">
        <v>64</v>
      </c>
      <c r="F115" s="1102" t="s">
        <v>100</v>
      </c>
      <c r="G115" s="1102" t="s">
        <v>66</v>
      </c>
      <c r="H115" s="1102" t="s">
        <v>67</v>
      </c>
      <c r="I115" s="1102" t="s">
        <v>68</v>
      </c>
      <c r="J115" s="1102" t="s">
        <v>169</v>
      </c>
      <c r="M115" s="1102" t="s">
        <v>68</v>
      </c>
      <c r="N115" s="1102" t="s">
        <v>68</v>
      </c>
      <c r="O115" s="1102" t="s">
        <v>170</v>
      </c>
      <c r="P115" s="1102" t="s">
        <v>171</v>
      </c>
      <c r="Q115" s="1102" t="s">
        <v>172</v>
      </c>
      <c r="R115" s="1102" t="s">
        <v>73</v>
      </c>
      <c r="S115" s="1102" t="s">
        <v>120</v>
      </c>
      <c r="T115" s="1102">
        <v>555</v>
      </c>
      <c r="U115" s="1102">
        <v>1320</v>
      </c>
      <c r="V115" s="1102">
        <v>0.73299999999999998</v>
      </c>
      <c r="W115" s="1102">
        <v>40</v>
      </c>
      <c r="X115" s="1102">
        <v>2</v>
      </c>
      <c r="Y115" s="1102" t="s">
        <v>75</v>
      </c>
      <c r="Z115" s="1102" t="s">
        <v>75</v>
      </c>
      <c r="AB115" s="1103">
        <v>46049</v>
      </c>
      <c r="AC115" s="1102">
        <v>5</v>
      </c>
      <c r="AD115" s="1102" t="s">
        <v>665</v>
      </c>
      <c r="AF115" s="1102" t="s">
        <v>122</v>
      </c>
      <c r="AG115" s="1102" t="s">
        <v>123</v>
      </c>
      <c r="AH115" s="1102" t="s">
        <v>105</v>
      </c>
      <c r="AI115" s="1103">
        <v>46055</v>
      </c>
      <c r="AJ115" s="1103">
        <v>46058</v>
      </c>
      <c r="AK115" s="1103">
        <v>46058</v>
      </c>
      <c r="AL115" s="1103">
        <v>46101</v>
      </c>
      <c r="AM115" s="1103">
        <v>46111</v>
      </c>
      <c r="AN115" s="1103">
        <v>46118</v>
      </c>
      <c r="AO115" s="1102" t="s">
        <v>66</v>
      </c>
      <c r="AP115" s="1102" t="s">
        <v>657</v>
      </c>
      <c r="AQ115" s="1102" t="s">
        <v>80</v>
      </c>
      <c r="AR115" s="1102" t="s">
        <v>662</v>
      </c>
      <c r="AS115" s="1102" t="s">
        <v>663</v>
      </c>
      <c r="AT115" s="1102" t="s">
        <v>663</v>
      </c>
      <c r="AU115" s="1102">
        <v>60</v>
      </c>
      <c r="AW115" s="1103">
        <v>46118</v>
      </c>
      <c r="AX115" s="1102" t="s">
        <v>84</v>
      </c>
      <c r="AY115" s="1103">
        <v>46133</v>
      </c>
      <c r="AZ115" s="1102">
        <v>7</v>
      </c>
      <c r="BA115" s="1103">
        <v>46125</v>
      </c>
      <c r="BB115" s="1102">
        <v>2026</v>
      </c>
      <c r="BC115" s="1102">
        <v>4</v>
      </c>
      <c r="BD115" s="1102">
        <v>16</v>
      </c>
      <c r="BE115" s="1102">
        <v>33</v>
      </c>
      <c r="BF115" s="1102">
        <v>660</v>
      </c>
      <c r="BG115" s="1102" t="s">
        <v>108</v>
      </c>
      <c r="BH115" s="1102" t="s">
        <v>109</v>
      </c>
    </row>
    <row r="116" spans="1:60">
      <c r="A116" s="1102" t="s">
        <v>282</v>
      </c>
      <c r="B116" s="1102" t="s">
        <v>281</v>
      </c>
      <c r="C116" s="1102" t="s">
        <v>203</v>
      </c>
      <c r="D116" s="1102" t="s">
        <v>63</v>
      </c>
      <c r="E116" s="1102" t="s">
        <v>64</v>
      </c>
      <c r="F116" s="1102" t="s">
        <v>100</v>
      </c>
      <c r="G116" s="1102" t="s">
        <v>66</v>
      </c>
      <c r="H116" s="1102" t="s">
        <v>67</v>
      </c>
      <c r="I116" s="1102" t="s">
        <v>68</v>
      </c>
      <c r="J116" s="1102" t="s">
        <v>293</v>
      </c>
      <c r="M116" s="1102" t="s">
        <v>68</v>
      </c>
      <c r="N116" s="1102" t="s">
        <v>68</v>
      </c>
      <c r="O116" s="1102" t="s">
        <v>284</v>
      </c>
      <c r="P116" s="1102" t="s">
        <v>285</v>
      </c>
      <c r="Q116" s="1102" t="s">
        <v>286</v>
      </c>
      <c r="R116" s="1102" t="s">
        <v>73</v>
      </c>
      <c r="S116" s="1102" t="s">
        <v>120</v>
      </c>
      <c r="T116" s="1102">
        <v>460</v>
      </c>
      <c r="U116" s="1102">
        <v>1924</v>
      </c>
      <c r="V116" s="1102">
        <v>0.88500000000000001</v>
      </c>
      <c r="W116" s="1102">
        <v>52</v>
      </c>
      <c r="X116" s="1102">
        <v>2</v>
      </c>
      <c r="Y116" s="1102" t="s">
        <v>75</v>
      </c>
      <c r="Z116" s="1102" t="s">
        <v>75</v>
      </c>
      <c r="AB116" s="1103">
        <v>46051</v>
      </c>
      <c r="AC116" s="1102">
        <v>5</v>
      </c>
      <c r="AD116" s="1102" t="s">
        <v>666</v>
      </c>
      <c r="AF116" s="1102" t="s">
        <v>288</v>
      </c>
      <c r="AG116" s="1102" t="s">
        <v>289</v>
      </c>
      <c r="AH116" s="1102" t="s">
        <v>105</v>
      </c>
      <c r="AI116" s="1103">
        <v>46057</v>
      </c>
      <c r="AJ116" s="1103">
        <v>46061</v>
      </c>
      <c r="AK116" s="1103">
        <v>46061</v>
      </c>
      <c r="AL116" s="1103">
        <v>46087</v>
      </c>
      <c r="AM116" s="1103">
        <v>46097</v>
      </c>
      <c r="AN116" s="1103">
        <v>46099</v>
      </c>
      <c r="AO116" s="1102" t="s">
        <v>66</v>
      </c>
      <c r="AP116" s="1102" t="s">
        <v>457</v>
      </c>
      <c r="AQ116" s="1102" t="s">
        <v>161</v>
      </c>
      <c r="AR116" s="1102" t="s">
        <v>667</v>
      </c>
      <c r="AS116" s="1102" t="s">
        <v>668</v>
      </c>
      <c r="AT116" s="1102">
        <v>149600000000</v>
      </c>
      <c r="AU116" s="1102">
        <v>38</v>
      </c>
      <c r="AW116" s="1103">
        <v>46099</v>
      </c>
      <c r="AX116" s="1102" t="s">
        <v>84</v>
      </c>
      <c r="AY116" s="1103">
        <v>46111</v>
      </c>
      <c r="AZ116" s="1102">
        <v>7</v>
      </c>
      <c r="BA116" s="1103">
        <v>46106</v>
      </c>
      <c r="BB116" s="1102">
        <v>2026</v>
      </c>
      <c r="BC116" s="1102">
        <v>3</v>
      </c>
      <c r="BD116" s="1102">
        <v>13</v>
      </c>
      <c r="BE116" s="1102">
        <v>37</v>
      </c>
      <c r="BF116" s="1102">
        <v>962</v>
      </c>
      <c r="BG116" s="1102" t="s">
        <v>85</v>
      </c>
      <c r="BH116" s="1102" t="s">
        <v>109</v>
      </c>
    </row>
    <row r="117" spans="1:60">
      <c r="A117" s="1102" t="s">
        <v>669</v>
      </c>
      <c r="B117" s="1102" t="s">
        <v>281</v>
      </c>
      <c r="C117" s="1102" t="s">
        <v>601</v>
      </c>
      <c r="D117" s="1102" t="s">
        <v>63</v>
      </c>
      <c r="E117" s="1102" t="s">
        <v>144</v>
      </c>
      <c r="F117" s="1102" t="s">
        <v>145</v>
      </c>
      <c r="G117" s="1102" t="s">
        <v>402</v>
      </c>
      <c r="H117" s="1102" t="s">
        <v>670</v>
      </c>
      <c r="I117" s="1102" t="s">
        <v>68</v>
      </c>
      <c r="J117" s="1102" t="s">
        <v>671</v>
      </c>
      <c r="K117" s="1102" t="s">
        <v>672</v>
      </c>
      <c r="M117" s="1102" t="s">
        <v>68</v>
      </c>
      <c r="N117" s="1102" t="s">
        <v>68</v>
      </c>
      <c r="O117" s="1102" t="s">
        <v>284</v>
      </c>
      <c r="P117" s="1102" t="s">
        <v>602</v>
      </c>
      <c r="Q117" s="1102" t="s">
        <v>603</v>
      </c>
      <c r="R117" s="1102" t="s">
        <v>73</v>
      </c>
      <c r="S117" s="1102" t="s">
        <v>120</v>
      </c>
      <c r="T117" s="1102">
        <v>465</v>
      </c>
      <c r="U117" s="1102">
        <v>13468</v>
      </c>
      <c r="V117" s="1102">
        <v>6.2629999999999999</v>
      </c>
      <c r="W117" s="1102">
        <v>364</v>
      </c>
      <c r="X117" s="1102">
        <v>14</v>
      </c>
      <c r="Y117" s="1102" t="s">
        <v>75</v>
      </c>
      <c r="Z117" s="1102" t="s">
        <v>75</v>
      </c>
      <c r="AB117" s="1103">
        <v>46041</v>
      </c>
      <c r="AC117" s="1102">
        <v>4</v>
      </c>
      <c r="AD117" s="1102" t="s">
        <v>673</v>
      </c>
      <c r="AF117" s="1102" t="s">
        <v>288</v>
      </c>
      <c r="AG117" s="1102" t="s">
        <v>289</v>
      </c>
      <c r="AH117" s="1102" t="s">
        <v>105</v>
      </c>
      <c r="AI117" s="1103">
        <v>46045</v>
      </c>
      <c r="AJ117" s="1103">
        <v>46045</v>
      </c>
      <c r="AK117" s="1103">
        <v>46045</v>
      </c>
      <c r="AL117" s="1103">
        <v>46071</v>
      </c>
      <c r="AM117" s="1103">
        <v>46080</v>
      </c>
      <c r="AN117" s="1103">
        <v>46084</v>
      </c>
      <c r="AO117" s="1102" t="s">
        <v>402</v>
      </c>
      <c r="AP117" s="1102" t="s">
        <v>262</v>
      </c>
      <c r="AQ117" s="1102" t="s">
        <v>161</v>
      </c>
      <c r="AR117" s="1102" t="s">
        <v>674</v>
      </c>
      <c r="AS117" s="1102" t="s">
        <v>675</v>
      </c>
      <c r="AT117" s="1102">
        <v>149600000000</v>
      </c>
      <c r="AU117" s="1102">
        <v>39</v>
      </c>
      <c r="AW117" s="1103">
        <v>46084</v>
      </c>
      <c r="AX117" s="1102" t="s">
        <v>84</v>
      </c>
      <c r="AY117" s="1103">
        <v>46085</v>
      </c>
      <c r="AZ117" s="1102" t="s">
        <v>152</v>
      </c>
      <c r="BA117" s="1103">
        <v>46084</v>
      </c>
      <c r="BB117" s="1102">
        <v>2026</v>
      </c>
      <c r="BC117" s="1102">
        <v>3</v>
      </c>
      <c r="BD117" s="1102">
        <v>10</v>
      </c>
      <c r="BE117" s="1102">
        <v>37</v>
      </c>
      <c r="BF117" s="1102">
        <v>962</v>
      </c>
      <c r="BG117" s="1102" t="s">
        <v>108</v>
      </c>
      <c r="BH117" s="1102" t="s">
        <v>109</v>
      </c>
    </row>
    <row r="118" spans="1:60">
      <c r="A118" s="1102" t="s">
        <v>676</v>
      </c>
      <c r="B118" s="1102" t="s">
        <v>281</v>
      </c>
      <c r="C118" s="1102" t="s">
        <v>601</v>
      </c>
      <c r="D118" s="1102" t="s">
        <v>63</v>
      </c>
      <c r="E118" s="1102" t="s">
        <v>144</v>
      </c>
      <c r="F118" s="1102" t="s">
        <v>145</v>
      </c>
      <c r="G118" s="1102" t="s">
        <v>402</v>
      </c>
      <c r="H118" s="1102" t="s">
        <v>670</v>
      </c>
      <c r="I118" s="1102" t="s">
        <v>68</v>
      </c>
      <c r="J118" s="1102" t="s">
        <v>677</v>
      </c>
      <c r="K118" s="1102" t="s">
        <v>672</v>
      </c>
      <c r="M118" s="1102" t="s">
        <v>68</v>
      </c>
      <c r="N118" s="1102" t="s">
        <v>68</v>
      </c>
      <c r="O118" s="1102" t="s">
        <v>284</v>
      </c>
      <c r="P118" s="1102" t="s">
        <v>602</v>
      </c>
      <c r="Q118" s="1102" t="s">
        <v>603</v>
      </c>
      <c r="R118" s="1102" t="s">
        <v>73</v>
      </c>
      <c r="S118" s="1102" t="s">
        <v>120</v>
      </c>
      <c r="T118" s="1102">
        <v>465</v>
      </c>
      <c r="U118" s="1102">
        <v>10582</v>
      </c>
      <c r="V118" s="1102">
        <v>4.9210000000000003</v>
      </c>
      <c r="W118" s="1102">
        <v>286</v>
      </c>
      <c r="X118" s="1102">
        <v>11</v>
      </c>
      <c r="Y118" s="1102" t="s">
        <v>75</v>
      </c>
      <c r="Z118" s="1102" t="s">
        <v>75</v>
      </c>
      <c r="AB118" s="1103">
        <v>46051</v>
      </c>
      <c r="AC118" s="1102">
        <v>5</v>
      </c>
      <c r="AD118" s="1102" t="s">
        <v>678</v>
      </c>
      <c r="AF118" s="1102" t="s">
        <v>288</v>
      </c>
      <c r="AG118" s="1102" t="s">
        <v>289</v>
      </c>
      <c r="AH118" s="1102" t="s">
        <v>105</v>
      </c>
      <c r="AI118" s="1103">
        <v>46056</v>
      </c>
      <c r="AJ118" s="1103">
        <v>46057</v>
      </c>
      <c r="AK118" s="1103">
        <v>46057</v>
      </c>
      <c r="AL118" s="1103">
        <v>46090</v>
      </c>
      <c r="AM118" s="1103">
        <v>46091</v>
      </c>
      <c r="AN118" s="1103">
        <v>46092</v>
      </c>
      <c r="AO118" s="1102" t="s">
        <v>402</v>
      </c>
      <c r="AP118" s="1102" t="s">
        <v>679</v>
      </c>
      <c r="AQ118" s="1102" t="s">
        <v>161</v>
      </c>
      <c r="AR118" s="1102" t="s">
        <v>680</v>
      </c>
      <c r="AS118" s="1102">
        <v>265292580</v>
      </c>
      <c r="AT118" s="1102">
        <v>265292580</v>
      </c>
      <c r="AU118" s="1102">
        <v>35</v>
      </c>
      <c r="AW118" s="1103">
        <v>46092</v>
      </c>
      <c r="AX118" s="1102" t="s">
        <v>84</v>
      </c>
      <c r="AY118" s="1103">
        <v>46104</v>
      </c>
      <c r="AZ118" s="1102" t="s">
        <v>152</v>
      </c>
      <c r="BA118" s="1103">
        <v>46092</v>
      </c>
      <c r="BB118" s="1102">
        <v>2026</v>
      </c>
      <c r="BC118" s="1102">
        <v>3</v>
      </c>
      <c r="BD118" s="1102">
        <v>11</v>
      </c>
      <c r="BE118" s="1102">
        <v>37</v>
      </c>
      <c r="BF118" s="1102">
        <v>962</v>
      </c>
      <c r="BG118" s="1102" t="s">
        <v>108</v>
      </c>
      <c r="BH118" s="1102" t="s">
        <v>109</v>
      </c>
    </row>
    <row r="119" spans="1:60">
      <c r="A119" s="1102" t="s">
        <v>681</v>
      </c>
      <c r="B119" s="1102" t="s">
        <v>281</v>
      </c>
      <c r="C119" s="1102" t="s">
        <v>601</v>
      </c>
      <c r="D119" s="1102" t="s">
        <v>63</v>
      </c>
      <c r="E119" s="1102" t="s">
        <v>144</v>
      </c>
      <c r="F119" s="1102" t="s">
        <v>145</v>
      </c>
      <c r="G119" s="1102" t="s">
        <v>402</v>
      </c>
      <c r="H119" s="1102" t="s">
        <v>670</v>
      </c>
      <c r="I119" s="1102" t="s">
        <v>68</v>
      </c>
      <c r="J119" s="1102" t="s">
        <v>677</v>
      </c>
      <c r="K119" s="1102" t="s">
        <v>672</v>
      </c>
      <c r="M119" s="1102" t="s">
        <v>68</v>
      </c>
      <c r="N119" s="1102" t="s">
        <v>68</v>
      </c>
      <c r="O119" s="1102" t="s">
        <v>284</v>
      </c>
      <c r="P119" s="1102" t="s">
        <v>602</v>
      </c>
      <c r="Q119" s="1102" t="s">
        <v>603</v>
      </c>
      <c r="R119" s="1102" t="s">
        <v>73</v>
      </c>
      <c r="S119" s="1102" t="s">
        <v>120</v>
      </c>
      <c r="T119" s="1102">
        <v>465</v>
      </c>
      <c r="U119" s="1102">
        <v>1924</v>
      </c>
      <c r="V119" s="1102">
        <v>0.89500000000000002</v>
      </c>
      <c r="W119" s="1102">
        <v>52</v>
      </c>
      <c r="X119" s="1102">
        <v>2</v>
      </c>
      <c r="Y119" s="1102" t="s">
        <v>75</v>
      </c>
      <c r="Z119" s="1102" t="s">
        <v>75</v>
      </c>
      <c r="AB119" s="1103">
        <v>46048</v>
      </c>
      <c r="AC119" s="1102">
        <v>5</v>
      </c>
      <c r="AD119" s="1102" t="s">
        <v>682</v>
      </c>
      <c r="AF119" s="1102" t="s">
        <v>288</v>
      </c>
      <c r="AG119" s="1102" t="s">
        <v>289</v>
      </c>
      <c r="AH119" s="1102" t="s">
        <v>105</v>
      </c>
      <c r="AI119" s="1103">
        <v>46053</v>
      </c>
      <c r="AJ119" s="1103">
        <v>46054</v>
      </c>
      <c r="AK119" s="1103">
        <v>46054</v>
      </c>
      <c r="AL119" s="1103">
        <v>46087</v>
      </c>
      <c r="AM119" s="1103">
        <v>46113</v>
      </c>
      <c r="AN119" s="1103">
        <v>46114</v>
      </c>
      <c r="AO119" s="1102" t="s">
        <v>402</v>
      </c>
      <c r="AP119" s="1102" t="s">
        <v>683</v>
      </c>
      <c r="AQ119" s="1102" t="s">
        <v>161</v>
      </c>
      <c r="AR119" s="1102" t="s">
        <v>684</v>
      </c>
      <c r="AS119" s="1102" t="s">
        <v>685</v>
      </c>
      <c r="AT119" s="1102" t="s">
        <v>686</v>
      </c>
      <c r="AU119" s="1102">
        <v>60</v>
      </c>
      <c r="AW119" s="1103">
        <v>46114</v>
      </c>
      <c r="AX119" s="1102" t="s">
        <v>84</v>
      </c>
      <c r="AY119" s="1103">
        <v>46101</v>
      </c>
      <c r="AZ119" s="1102" t="s">
        <v>152</v>
      </c>
      <c r="BA119" s="1103">
        <v>46114</v>
      </c>
      <c r="BB119" s="1102">
        <v>2026</v>
      </c>
      <c r="BC119" s="1102">
        <v>4</v>
      </c>
      <c r="BD119" s="1102">
        <v>14</v>
      </c>
      <c r="BE119" s="1102">
        <v>37</v>
      </c>
      <c r="BF119" s="1102">
        <v>962</v>
      </c>
      <c r="BG119" s="1102" t="s">
        <v>108</v>
      </c>
      <c r="BH119" s="1102" t="s">
        <v>109</v>
      </c>
    </row>
    <row r="120" spans="1:60">
      <c r="A120" s="1102" t="s">
        <v>687</v>
      </c>
      <c r="B120" s="1102" t="s">
        <v>77</v>
      </c>
      <c r="C120" s="1102" t="s">
        <v>688</v>
      </c>
      <c r="D120" s="1102" t="s">
        <v>63</v>
      </c>
      <c r="E120" s="1102" t="s">
        <v>64</v>
      </c>
      <c r="F120" s="1102" t="s">
        <v>65</v>
      </c>
      <c r="G120" s="1102" t="s">
        <v>66</v>
      </c>
      <c r="H120" s="1102" t="s">
        <v>67</v>
      </c>
      <c r="I120" s="1102" t="s">
        <v>689</v>
      </c>
      <c r="J120" s="1102" t="s">
        <v>690</v>
      </c>
      <c r="M120" s="1102" t="s">
        <v>68</v>
      </c>
      <c r="N120" s="1102" t="s">
        <v>68</v>
      </c>
      <c r="O120" s="1102" t="s">
        <v>70</v>
      </c>
      <c r="P120" s="1102" t="s">
        <v>691</v>
      </c>
      <c r="Q120" s="1102" t="s">
        <v>692</v>
      </c>
      <c r="R120" s="1102" t="s">
        <v>73</v>
      </c>
      <c r="S120" s="1102" t="s">
        <v>74</v>
      </c>
      <c r="T120" s="1102">
        <v>505</v>
      </c>
      <c r="U120" s="1102">
        <v>1728</v>
      </c>
      <c r="V120" s="1102">
        <v>0.873</v>
      </c>
      <c r="W120" s="1102">
        <v>48</v>
      </c>
      <c r="X120" s="1102">
        <v>2</v>
      </c>
      <c r="Y120" s="1102" t="s">
        <v>75</v>
      </c>
      <c r="Z120" s="1102" t="s">
        <v>75</v>
      </c>
      <c r="AA120" s="1102" t="s">
        <v>197</v>
      </c>
      <c r="AB120" s="1103">
        <v>46050</v>
      </c>
      <c r="AC120" s="1102">
        <v>5</v>
      </c>
      <c r="AD120" s="1102" t="s">
        <v>693</v>
      </c>
      <c r="AE120" s="1102" t="s">
        <v>197</v>
      </c>
      <c r="AF120" s="1102" t="s">
        <v>77</v>
      </c>
      <c r="AG120" s="1102" t="s">
        <v>61</v>
      </c>
      <c r="AH120" s="1102" t="s">
        <v>356</v>
      </c>
      <c r="AI120" s="1103">
        <v>46057</v>
      </c>
      <c r="AJ120" s="1103">
        <v>46058</v>
      </c>
      <c r="AK120" s="1103">
        <v>46058</v>
      </c>
      <c r="AL120" s="1103">
        <v>46112</v>
      </c>
      <c r="AM120" s="1103">
        <v>46132</v>
      </c>
      <c r="AN120" s="1103">
        <v>46132</v>
      </c>
      <c r="AO120" s="1102" t="s">
        <v>66</v>
      </c>
      <c r="AP120" s="1102" t="s">
        <v>694</v>
      </c>
      <c r="AQ120" s="1102" t="s">
        <v>80</v>
      </c>
      <c r="AR120" s="1102" t="s">
        <v>695</v>
      </c>
      <c r="AS120" s="1102" t="s">
        <v>696</v>
      </c>
      <c r="AT120" s="1102" t="s">
        <v>696</v>
      </c>
      <c r="AU120" s="1102">
        <v>74</v>
      </c>
      <c r="AW120" s="1103">
        <v>46132</v>
      </c>
      <c r="AX120" s="1102" t="s">
        <v>84</v>
      </c>
      <c r="AY120" s="1103">
        <v>46146</v>
      </c>
      <c r="AZ120" s="1102">
        <v>8</v>
      </c>
      <c r="BA120" s="1103">
        <v>46140</v>
      </c>
      <c r="BB120" s="1102">
        <v>2026</v>
      </c>
      <c r="BC120" s="1102">
        <v>4</v>
      </c>
      <c r="BD120" s="1102">
        <v>18</v>
      </c>
      <c r="BE120" s="1102">
        <v>36</v>
      </c>
      <c r="BF120" s="1102">
        <v>864</v>
      </c>
      <c r="BG120" s="1102" t="s">
        <v>85</v>
      </c>
      <c r="BH120" s="1102" t="s">
        <v>109</v>
      </c>
    </row>
    <row r="121" spans="1:60">
      <c r="A121" s="1102" t="s">
        <v>697</v>
      </c>
      <c r="B121" s="1102" t="s">
        <v>77</v>
      </c>
      <c r="C121" s="1102" t="s">
        <v>688</v>
      </c>
      <c r="D121" s="1102" t="s">
        <v>63</v>
      </c>
      <c r="E121" s="1102" t="s">
        <v>64</v>
      </c>
      <c r="F121" s="1102" t="s">
        <v>65</v>
      </c>
      <c r="G121" s="1102" t="s">
        <v>66</v>
      </c>
      <c r="H121" s="1102" t="s">
        <v>67</v>
      </c>
      <c r="I121" s="1102" t="s">
        <v>68</v>
      </c>
      <c r="J121" s="1102" t="s">
        <v>690</v>
      </c>
      <c r="M121" s="1102" t="s">
        <v>68</v>
      </c>
      <c r="N121" s="1102" t="s">
        <v>68</v>
      </c>
      <c r="O121" s="1102" t="s">
        <v>70</v>
      </c>
      <c r="P121" s="1102" t="s">
        <v>691</v>
      </c>
      <c r="Q121" s="1102" t="s">
        <v>692</v>
      </c>
      <c r="R121" s="1102" t="s">
        <v>73</v>
      </c>
      <c r="S121" s="1102" t="s">
        <v>74</v>
      </c>
      <c r="T121" s="1102">
        <v>505</v>
      </c>
      <c r="U121" s="1102">
        <v>1728</v>
      </c>
      <c r="V121" s="1102">
        <v>0.873</v>
      </c>
      <c r="W121" s="1102">
        <v>48</v>
      </c>
      <c r="X121" s="1102">
        <v>2</v>
      </c>
      <c r="Y121" s="1102" t="s">
        <v>75</v>
      </c>
      <c r="Z121" s="1102" t="s">
        <v>75</v>
      </c>
      <c r="AA121" s="1102" t="s">
        <v>197</v>
      </c>
      <c r="AB121" s="1103">
        <v>46050</v>
      </c>
      <c r="AC121" s="1102">
        <v>5</v>
      </c>
      <c r="AD121" s="1102" t="s">
        <v>698</v>
      </c>
      <c r="AE121" s="1102" t="s">
        <v>197</v>
      </c>
      <c r="AF121" s="1102" t="s">
        <v>77</v>
      </c>
      <c r="AG121" s="1102" t="s">
        <v>61</v>
      </c>
      <c r="AH121" s="1102" t="s">
        <v>356</v>
      </c>
      <c r="AI121" s="1103">
        <v>46057</v>
      </c>
      <c r="AJ121" s="1103">
        <v>46058</v>
      </c>
      <c r="AK121" s="1103">
        <v>46058</v>
      </c>
      <c r="AL121" s="1103">
        <v>46112</v>
      </c>
      <c r="AM121" s="1103">
        <v>46132</v>
      </c>
      <c r="AN121" s="1103">
        <v>46132</v>
      </c>
      <c r="AO121" s="1102" t="s">
        <v>66</v>
      </c>
      <c r="AP121" s="1102" t="s">
        <v>694</v>
      </c>
      <c r="AQ121" s="1102" t="s">
        <v>80</v>
      </c>
      <c r="AR121" s="1102" t="s">
        <v>695</v>
      </c>
      <c r="AS121" s="1102" t="s">
        <v>696</v>
      </c>
      <c r="AT121" s="1102" t="s">
        <v>696</v>
      </c>
      <c r="AU121" s="1102">
        <v>74</v>
      </c>
      <c r="AW121" s="1103">
        <v>46132</v>
      </c>
      <c r="AX121" s="1102" t="s">
        <v>84</v>
      </c>
      <c r="AY121" s="1103">
        <v>46146</v>
      </c>
      <c r="AZ121" s="1102">
        <v>8</v>
      </c>
      <c r="BA121" s="1103">
        <v>46140</v>
      </c>
      <c r="BB121" s="1102">
        <v>2026</v>
      </c>
      <c r="BC121" s="1102">
        <v>4</v>
      </c>
      <c r="BD121" s="1102">
        <v>18</v>
      </c>
      <c r="BE121" s="1102">
        <v>36</v>
      </c>
      <c r="BF121" s="1102">
        <v>864</v>
      </c>
      <c r="BG121" s="1102" t="s">
        <v>85</v>
      </c>
      <c r="BH121" s="1102" t="s">
        <v>109</v>
      </c>
    </row>
    <row r="122" spans="1:60">
      <c r="A122" s="1102" t="s">
        <v>699</v>
      </c>
      <c r="B122" s="1102" t="s">
        <v>61</v>
      </c>
      <c r="C122" s="1102" t="s">
        <v>326</v>
      </c>
      <c r="D122" s="1102" t="s">
        <v>113</v>
      </c>
      <c r="E122" s="1102" t="s">
        <v>64</v>
      </c>
      <c r="F122" s="1102" t="s">
        <v>100</v>
      </c>
      <c r="G122" s="1102" t="s">
        <v>66</v>
      </c>
      <c r="H122" s="1102" t="s">
        <v>67</v>
      </c>
      <c r="I122" s="1102" t="s">
        <v>68</v>
      </c>
      <c r="J122" s="1102" t="s">
        <v>327</v>
      </c>
      <c r="K122" s="1102" t="s">
        <v>328</v>
      </c>
      <c r="M122" s="1102" t="s">
        <v>68</v>
      </c>
      <c r="N122" s="1102" t="s">
        <v>68</v>
      </c>
      <c r="O122" s="1102" t="s">
        <v>70</v>
      </c>
      <c r="P122" s="1102" t="s">
        <v>329</v>
      </c>
      <c r="Q122" s="1102" t="s">
        <v>330</v>
      </c>
      <c r="R122" s="1102" t="s">
        <v>331</v>
      </c>
      <c r="S122" s="1102" t="s">
        <v>120</v>
      </c>
      <c r="T122" s="1102">
        <v>625</v>
      </c>
      <c r="U122" s="1102">
        <v>2880</v>
      </c>
      <c r="V122" s="1102">
        <v>1.8</v>
      </c>
      <c r="W122" s="1102">
        <v>80</v>
      </c>
      <c r="X122" s="1102">
        <v>4</v>
      </c>
      <c r="Y122" s="1102" t="s">
        <v>75</v>
      </c>
      <c r="Z122" s="1102" t="s">
        <v>75</v>
      </c>
      <c r="AA122" s="1102" t="s">
        <v>197</v>
      </c>
      <c r="AB122" s="1103">
        <v>46048</v>
      </c>
      <c r="AC122" s="1102">
        <v>5</v>
      </c>
      <c r="AD122" s="1102" t="s">
        <v>700</v>
      </c>
      <c r="AE122" s="1102" t="s">
        <v>197</v>
      </c>
      <c r="AF122" s="1102" t="s">
        <v>77</v>
      </c>
      <c r="AG122" s="1102" t="s">
        <v>61</v>
      </c>
      <c r="AH122" s="1102" t="s">
        <v>105</v>
      </c>
      <c r="AI122" s="1103">
        <v>46054</v>
      </c>
      <c r="AJ122" s="1103">
        <v>46054</v>
      </c>
      <c r="AK122" s="1103">
        <v>46055</v>
      </c>
      <c r="AL122" s="1103">
        <v>46094</v>
      </c>
      <c r="AM122" s="1103">
        <v>46116</v>
      </c>
      <c r="AN122" s="1103">
        <v>46118</v>
      </c>
      <c r="AO122" s="1102" t="s">
        <v>66</v>
      </c>
      <c r="AP122" s="1102" t="s">
        <v>701</v>
      </c>
      <c r="AQ122" s="1102" t="s">
        <v>161</v>
      </c>
      <c r="AR122" s="1102" t="s">
        <v>702</v>
      </c>
      <c r="AS122" s="1102" t="s">
        <v>703</v>
      </c>
      <c r="AT122" s="1102" t="s">
        <v>703</v>
      </c>
      <c r="AU122" s="1102">
        <v>63</v>
      </c>
      <c r="AW122" s="1103">
        <v>46118</v>
      </c>
      <c r="AX122" s="1102" t="s">
        <v>84</v>
      </c>
      <c r="AY122" s="1103">
        <v>46129</v>
      </c>
      <c r="AZ122" s="1102">
        <v>7</v>
      </c>
      <c r="BA122" s="1103">
        <v>46125</v>
      </c>
      <c r="BB122" s="1102">
        <v>2026</v>
      </c>
      <c r="BC122" s="1102">
        <v>4</v>
      </c>
      <c r="BD122" s="1102">
        <v>16</v>
      </c>
      <c r="BE122" s="1102">
        <v>36</v>
      </c>
      <c r="BF122" s="1102">
        <v>720</v>
      </c>
      <c r="BG122" s="1102" t="s">
        <v>128</v>
      </c>
      <c r="BH122" s="1102" t="s">
        <v>109</v>
      </c>
    </row>
    <row r="123" spans="1:60">
      <c r="A123" s="1102" t="s">
        <v>704</v>
      </c>
      <c r="B123" s="1102" t="s">
        <v>77</v>
      </c>
      <c r="C123" s="1102" t="s">
        <v>705</v>
      </c>
      <c r="D123" s="1102" t="s">
        <v>63</v>
      </c>
      <c r="E123" s="1102" t="s">
        <v>64</v>
      </c>
      <c r="F123" s="1102" t="s">
        <v>65</v>
      </c>
      <c r="G123" s="1102" t="s">
        <v>66</v>
      </c>
      <c r="H123" s="1102" t="s">
        <v>67</v>
      </c>
      <c r="I123" s="1102" t="s">
        <v>68</v>
      </c>
      <c r="J123" s="1102" t="s">
        <v>690</v>
      </c>
      <c r="M123" s="1102" t="s">
        <v>68</v>
      </c>
      <c r="N123" s="1102" t="s">
        <v>68</v>
      </c>
      <c r="O123" s="1102" t="s">
        <v>70</v>
      </c>
      <c r="P123" s="1102" t="s">
        <v>706</v>
      </c>
      <c r="Q123" s="1102" t="s">
        <v>707</v>
      </c>
      <c r="R123" s="1102" t="s">
        <v>73</v>
      </c>
      <c r="S123" s="1102" t="s">
        <v>74</v>
      </c>
      <c r="T123" s="1102">
        <v>500</v>
      </c>
      <c r="U123" s="1102">
        <v>1728</v>
      </c>
      <c r="V123" s="1102">
        <v>0.86399999999999999</v>
      </c>
      <c r="W123" s="1102">
        <v>48</v>
      </c>
      <c r="X123" s="1102">
        <v>2</v>
      </c>
      <c r="Y123" s="1102" t="s">
        <v>75</v>
      </c>
      <c r="Z123" s="1102" t="s">
        <v>75</v>
      </c>
      <c r="AA123" s="1102" t="s">
        <v>197</v>
      </c>
      <c r="AB123" s="1103">
        <v>46050</v>
      </c>
      <c r="AC123" s="1102">
        <v>5</v>
      </c>
      <c r="AD123" s="1102" t="s">
        <v>708</v>
      </c>
      <c r="AE123" s="1102" t="s">
        <v>197</v>
      </c>
      <c r="AF123" s="1102" t="s">
        <v>77</v>
      </c>
      <c r="AG123" s="1102" t="s">
        <v>61</v>
      </c>
      <c r="AH123" s="1102" t="s">
        <v>78</v>
      </c>
      <c r="AI123" s="1103">
        <v>46057</v>
      </c>
      <c r="AJ123" s="1103">
        <v>46058</v>
      </c>
      <c r="AK123" s="1103">
        <v>46058</v>
      </c>
      <c r="AL123" s="1103">
        <v>46119</v>
      </c>
      <c r="AM123" s="1103">
        <v>46125</v>
      </c>
      <c r="AN123" s="1103">
        <v>46125</v>
      </c>
      <c r="AO123" s="1102" t="s">
        <v>66</v>
      </c>
      <c r="AP123" s="1102" t="s">
        <v>694</v>
      </c>
      <c r="AQ123" s="1102" t="s">
        <v>80</v>
      </c>
      <c r="AR123" s="1102" t="s">
        <v>709</v>
      </c>
      <c r="AS123" s="1102" t="s">
        <v>710</v>
      </c>
      <c r="AT123" s="1102" t="s">
        <v>710</v>
      </c>
      <c r="AU123" s="1102">
        <v>67</v>
      </c>
      <c r="AW123" s="1103">
        <v>46125</v>
      </c>
      <c r="AX123" s="1102" t="s">
        <v>84</v>
      </c>
      <c r="AY123" s="1103">
        <v>46139</v>
      </c>
      <c r="AZ123" s="1102">
        <v>8</v>
      </c>
      <c r="BA123" s="1103">
        <v>46133</v>
      </c>
      <c r="BB123" s="1102">
        <v>2026</v>
      </c>
      <c r="BC123" s="1102">
        <v>4</v>
      </c>
      <c r="BD123" s="1102">
        <v>17</v>
      </c>
      <c r="BE123" s="1102">
        <v>36</v>
      </c>
      <c r="BF123" s="1102">
        <v>864</v>
      </c>
      <c r="BG123" s="1102" t="s">
        <v>85</v>
      </c>
      <c r="BH123" s="1102" t="s">
        <v>86</v>
      </c>
    </row>
    <row r="124" spans="1:60">
      <c r="A124" s="1102" t="s">
        <v>711</v>
      </c>
      <c r="B124" s="1102" t="s">
        <v>61</v>
      </c>
      <c r="C124" s="1102" t="s">
        <v>203</v>
      </c>
      <c r="D124" s="1102" t="s">
        <v>113</v>
      </c>
      <c r="E124" s="1102" t="s">
        <v>64</v>
      </c>
      <c r="F124" s="1102" t="s">
        <v>65</v>
      </c>
      <c r="G124" s="1102" t="s">
        <v>66</v>
      </c>
      <c r="H124" s="1102" t="s">
        <v>67</v>
      </c>
      <c r="I124" s="1102" t="s">
        <v>68</v>
      </c>
      <c r="J124" s="1102" t="s">
        <v>712</v>
      </c>
      <c r="K124" s="1102" t="s">
        <v>328</v>
      </c>
      <c r="M124" s="1102" t="s">
        <v>68</v>
      </c>
      <c r="N124" s="1102">
        <v>46045</v>
      </c>
      <c r="O124" s="1102" t="s">
        <v>713</v>
      </c>
      <c r="P124" s="1102" t="s">
        <v>714</v>
      </c>
      <c r="Q124" s="1102" t="s">
        <v>715</v>
      </c>
      <c r="R124" s="1102" t="s">
        <v>73</v>
      </c>
      <c r="S124" s="1102" t="s">
        <v>716</v>
      </c>
      <c r="T124" s="1102">
        <v>625</v>
      </c>
      <c r="U124" s="1102">
        <v>108</v>
      </c>
      <c r="V124" s="1102">
        <v>6.8000000000000005E-2</v>
      </c>
      <c r="W124" s="1102">
        <v>3</v>
      </c>
      <c r="X124" s="1102">
        <v>0.2</v>
      </c>
      <c r="Y124" s="1102" t="s">
        <v>75</v>
      </c>
      <c r="Z124" s="1102" t="s">
        <v>75</v>
      </c>
      <c r="AA124" s="1102" t="s">
        <v>197</v>
      </c>
      <c r="AB124" s="1103">
        <v>46051</v>
      </c>
      <c r="AC124" s="1102">
        <v>5</v>
      </c>
      <c r="AD124" s="1102" t="s">
        <v>717</v>
      </c>
      <c r="AE124" s="1102" t="s">
        <v>197</v>
      </c>
      <c r="AF124" s="1102" t="s">
        <v>77</v>
      </c>
      <c r="AG124" s="1102" t="s">
        <v>61</v>
      </c>
      <c r="AH124" s="1102" t="s">
        <v>78</v>
      </c>
      <c r="AI124" s="1103">
        <v>46057</v>
      </c>
      <c r="AJ124" s="1103">
        <v>46058</v>
      </c>
      <c r="AK124" s="1103">
        <v>46058</v>
      </c>
      <c r="AL124" s="1103">
        <v>46125</v>
      </c>
      <c r="AM124" s="1103">
        <v>46136</v>
      </c>
      <c r="AN124" s="1103">
        <v>46137</v>
      </c>
      <c r="AO124" s="1102" t="s">
        <v>66</v>
      </c>
      <c r="AP124" s="1102" t="s">
        <v>694</v>
      </c>
      <c r="AQ124" s="1102" t="s">
        <v>80</v>
      </c>
      <c r="AR124" s="1102" t="s">
        <v>718</v>
      </c>
      <c r="AS124" s="1102" t="s">
        <v>719</v>
      </c>
      <c r="AT124" s="1102" t="s">
        <v>719</v>
      </c>
      <c r="AU124" s="1102">
        <v>79</v>
      </c>
      <c r="AW124" s="1103">
        <v>46137</v>
      </c>
      <c r="AX124" s="1102" t="s">
        <v>84</v>
      </c>
      <c r="AY124" s="1103">
        <v>46150</v>
      </c>
      <c r="AZ124" s="1102">
        <v>8</v>
      </c>
      <c r="BA124" s="1103">
        <v>46145</v>
      </c>
      <c r="BB124" s="1102">
        <v>2026</v>
      </c>
      <c r="BC124" s="1102">
        <v>5</v>
      </c>
      <c r="BD124" s="1102">
        <v>18</v>
      </c>
      <c r="BE124" s="1102">
        <v>36</v>
      </c>
      <c r="BF124" s="1102">
        <v>576</v>
      </c>
      <c r="BG124" s="1102" t="s">
        <v>108</v>
      </c>
      <c r="BH124" s="1102" t="s">
        <v>86</v>
      </c>
    </row>
    <row r="125" spans="1:60">
      <c r="A125" s="1102" t="s">
        <v>720</v>
      </c>
      <c r="B125" s="1102" t="s">
        <v>77</v>
      </c>
      <c r="C125" s="1102" t="s">
        <v>688</v>
      </c>
      <c r="D125" s="1102" t="s">
        <v>63</v>
      </c>
      <c r="E125" s="1102" t="s">
        <v>64</v>
      </c>
      <c r="F125" s="1102" t="s">
        <v>65</v>
      </c>
      <c r="G125" s="1102" t="s">
        <v>66</v>
      </c>
      <c r="H125" s="1102" t="s">
        <v>67</v>
      </c>
      <c r="I125" s="1102" t="s">
        <v>68</v>
      </c>
      <c r="J125" s="1102" t="s">
        <v>690</v>
      </c>
      <c r="M125" s="1102" t="s">
        <v>68</v>
      </c>
      <c r="N125" s="1102" t="s">
        <v>68</v>
      </c>
      <c r="O125" s="1102" t="s">
        <v>70</v>
      </c>
      <c r="P125" s="1102" t="s">
        <v>691</v>
      </c>
      <c r="Q125" s="1102" t="s">
        <v>692</v>
      </c>
      <c r="R125" s="1102" t="s">
        <v>73</v>
      </c>
      <c r="S125" s="1102" t="s">
        <v>74</v>
      </c>
      <c r="T125" s="1102">
        <v>505</v>
      </c>
      <c r="U125" s="1102">
        <v>684</v>
      </c>
      <c r="V125" s="1102">
        <v>0.34499999999999997</v>
      </c>
      <c r="W125" s="1102">
        <v>19</v>
      </c>
      <c r="X125" s="1102">
        <v>0.8</v>
      </c>
      <c r="Y125" s="1102" t="s">
        <v>75</v>
      </c>
      <c r="Z125" s="1102" t="s">
        <v>75</v>
      </c>
      <c r="AA125" s="1102" t="s">
        <v>197</v>
      </c>
      <c r="AB125" s="1103">
        <v>46051</v>
      </c>
      <c r="AC125" s="1102">
        <v>5</v>
      </c>
      <c r="AD125" s="1102" t="s">
        <v>721</v>
      </c>
      <c r="AE125" s="1102" t="s">
        <v>197</v>
      </c>
      <c r="AF125" s="1102" t="s">
        <v>77</v>
      </c>
      <c r="AG125" s="1102" t="s">
        <v>61</v>
      </c>
      <c r="AH125" s="1102" t="s">
        <v>78</v>
      </c>
      <c r="AI125" s="1103">
        <v>46057</v>
      </c>
      <c r="AJ125" s="1103">
        <v>46058</v>
      </c>
      <c r="AK125" s="1103">
        <v>46058</v>
      </c>
      <c r="AL125" s="1103">
        <v>46125</v>
      </c>
      <c r="AM125" s="1103">
        <v>46136</v>
      </c>
      <c r="AN125" s="1103">
        <v>46137</v>
      </c>
      <c r="AO125" s="1102" t="s">
        <v>66</v>
      </c>
      <c r="AP125" s="1102" t="s">
        <v>694</v>
      </c>
      <c r="AQ125" s="1102" t="s">
        <v>80</v>
      </c>
      <c r="AR125" s="1102" t="s">
        <v>718</v>
      </c>
      <c r="AS125" s="1102" t="s">
        <v>719</v>
      </c>
      <c r="AT125" s="1102" t="s">
        <v>719</v>
      </c>
      <c r="AU125" s="1102">
        <v>79</v>
      </c>
      <c r="AW125" s="1103">
        <v>46137</v>
      </c>
      <c r="AX125" s="1102" t="s">
        <v>84</v>
      </c>
      <c r="AY125" s="1103">
        <v>46150</v>
      </c>
      <c r="AZ125" s="1102">
        <v>8</v>
      </c>
      <c r="BA125" s="1103">
        <v>46145</v>
      </c>
      <c r="BB125" s="1102">
        <v>2026</v>
      </c>
      <c r="BC125" s="1102">
        <v>5</v>
      </c>
      <c r="BD125" s="1102">
        <v>18</v>
      </c>
      <c r="BE125" s="1102">
        <v>36</v>
      </c>
      <c r="BF125" s="1102">
        <v>864</v>
      </c>
      <c r="BG125" s="1102" t="s">
        <v>85</v>
      </c>
      <c r="BH125" s="1102" t="s">
        <v>86</v>
      </c>
    </row>
    <row r="126" spans="1:60">
      <c r="A126" s="1102" t="s">
        <v>88</v>
      </c>
      <c r="B126" s="1102" t="s">
        <v>61</v>
      </c>
      <c r="C126" s="1102" t="s">
        <v>203</v>
      </c>
      <c r="D126" s="1102" t="s">
        <v>63</v>
      </c>
      <c r="E126" s="1102" t="s">
        <v>64</v>
      </c>
      <c r="F126" s="1102" t="s">
        <v>65</v>
      </c>
      <c r="G126" s="1102" t="s">
        <v>66</v>
      </c>
      <c r="H126" s="1102" t="s">
        <v>67</v>
      </c>
      <c r="I126" s="1102" t="s">
        <v>68</v>
      </c>
      <c r="J126" s="1102" t="s">
        <v>690</v>
      </c>
      <c r="M126" s="1102" t="s">
        <v>68</v>
      </c>
      <c r="N126" s="1102" t="s">
        <v>68</v>
      </c>
      <c r="O126" s="1102" t="s">
        <v>70</v>
      </c>
      <c r="P126" s="1102" t="s">
        <v>91</v>
      </c>
      <c r="Q126" s="1102" t="s">
        <v>92</v>
      </c>
      <c r="R126" s="1102" t="s">
        <v>73</v>
      </c>
      <c r="S126" s="1102" t="s">
        <v>74</v>
      </c>
      <c r="T126" s="1102">
        <v>450</v>
      </c>
      <c r="U126" s="1102">
        <v>936</v>
      </c>
      <c r="V126" s="1102">
        <v>0.42099999999999999</v>
      </c>
      <c r="W126" s="1102">
        <v>26</v>
      </c>
      <c r="X126" s="1102">
        <v>1</v>
      </c>
      <c r="Y126" s="1102" t="s">
        <v>75</v>
      </c>
      <c r="Z126" s="1102" t="s">
        <v>75</v>
      </c>
      <c r="AA126" s="1102" t="s">
        <v>197</v>
      </c>
      <c r="AB126" s="1103">
        <v>46051</v>
      </c>
      <c r="AC126" s="1102">
        <v>5</v>
      </c>
      <c r="AD126" s="1102" t="s">
        <v>722</v>
      </c>
      <c r="AE126" s="1102" t="s">
        <v>197</v>
      </c>
      <c r="AF126" s="1102" t="s">
        <v>77</v>
      </c>
      <c r="AG126" s="1102" t="s">
        <v>61</v>
      </c>
      <c r="AH126" s="1102" t="s">
        <v>78</v>
      </c>
      <c r="AI126" s="1103">
        <v>46057</v>
      </c>
      <c r="AJ126" s="1103">
        <v>46058</v>
      </c>
      <c r="AK126" s="1103">
        <v>46058</v>
      </c>
      <c r="AL126" s="1103">
        <v>46125</v>
      </c>
      <c r="AM126" s="1103">
        <v>46136</v>
      </c>
      <c r="AN126" s="1103">
        <v>46137</v>
      </c>
      <c r="AO126" s="1102" t="s">
        <v>66</v>
      </c>
      <c r="AP126" s="1102" t="s">
        <v>694</v>
      </c>
      <c r="AQ126" s="1102" t="s">
        <v>80</v>
      </c>
      <c r="AR126" s="1102" t="s">
        <v>718</v>
      </c>
      <c r="AS126" s="1102" t="s">
        <v>719</v>
      </c>
      <c r="AT126" s="1102" t="s">
        <v>719</v>
      </c>
      <c r="AU126" s="1102">
        <v>79</v>
      </c>
      <c r="AW126" s="1103">
        <v>46137</v>
      </c>
      <c r="AX126" s="1102" t="s">
        <v>84</v>
      </c>
      <c r="AY126" s="1103">
        <v>46150</v>
      </c>
      <c r="AZ126" s="1102">
        <v>8</v>
      </c>
      <c r="BA126" s="1103">
        <v>46145</v>
      </c>
      <c r="BB126" s="1102">
        <v>2026</v>
      </c>
      <c r="BC126" s="1102">
        <v>5</v>
      </c>
      <c r="BD126" s="1102">
        <v>18</v>
      </c>
      <c r="BE126" s="1102">
        <v>36</v>
      </c>
      <c r="BF126" s="1102">
        <v>936</v>
      </c>
      <c r="BG126" s="1102" t="s">
        <v>94</v>
      </c>
      <c r="BH126" s="1102" t="s">
        <v>86</v>
      </c>
    </row>
    <row r="127" spans="1:60">
      <c r="A127" s="1102" t="s">
        <v>723</v>
      </c>
      <c r="B127" s="1102" t="s">
        <v>111</v>
      </c>
      <c r="C127" s="1102" t="s">
        <v>168</v>
      </c>
      <c r="D127" s="1102" t="s">
        <v>63</v>
      </c>
      <c r="E127" s="1102" t="s">
        <v>64</v>
      </c>
      <c r="F127" s="1102" t="s">
        <v>100</v>
      </c>
      <c r="G127" s="1102" t="s">
        <v>402</v>
      </c>
      <c r="H127" s="1102" t="s">
        <v>67</v>
      </c>
      <c r="I127" s="1102" t="s">
        <v>68</v>
      </c>
      <c r="J127" s="1102" t="s">
        <v>483</v>
      </c>
      <c r="M127" s="1102" t="s">
        <v>68</v>
      </c>
      <c r="N127" s="1102" t="s">
        <v>68</v>
      </c>
      <c r="O127" s="1102" t="s">
        <v>170</v>
      </c>
      <c r="P127" s="1102" t="s">
        <v>171</v>
      </c>
      <c r="Q127" s="1102" t="s">
        <v>172</v>
      </c>
      <c r="R127" s="1102" t="s">
        <v>73</v>
      </c>
      <c r="S127" s="1102" t="s">
        <v>120</v>
      </c>
      <c r="T127" s="1102">
        <v>555</v>
      </c>
      <c r="U127" s="1102">
        <v>1980</v>
      </c>
      <c r="V127" s="1102">
        <v>1.099</v>
      </c>
      <c r="W127" s="1102">
        <v>60</v>
      </c>
      <c r="X127" s="1102">
        <v>3</v>
      </c>
      <c r="Y127" s="1102" t="s">
        <v>75</v>
      </c>
      <c r="Z127" s="1102" t="s">
        <v>75</v>
      </c>
      <c r="AB127" s="1103">
        <v>46056</v>
      </c>
      <c r="AC127" s="1102">
        <v>6</v>
      </c>
      <c r="AD127" s="1102" t="s">
        <v>724</v>
      </c>
      <c r="AF127" s="1102" t="s">
        <v>122</v>
      </c>
      <c r="AG127" s="1102" t="s">
        <v>123</v>
      </c>
      <c r="AH127" s="1102" t="s">
        <v>105</v>
      </c>
      <c r="AI127" s="1103">
        <v>46062</v>
      </c>
      <c r="AJ127" s="1103">
        <v>46067</v>
      </c>
      <c r="AK127" s="1103">
        <v>46068</v>
      </c>
      <c r="AL127" s="1103">
        <v>46102</v>
      </c>
      <c r="AM127" s="1103">
        <v>46111</v>
      </c>
      <c r="AN127" s="1103">
        <v>46113</v>
      </c>
      <c r="AO127" s="1102" t="s">
        <v>402</v>
      </c>
      <c r="AP127" s="1102" t="s">
        <v>623</v>
      </c>
      <c r="AQ127" s="1102" t="s">
        <v>161</v>
      </c>
      <c r="AR127" s="1102" t="s">
        <v>725</v>
      </c>
      <c r="AS127" s="1102" t="s">
        <v>726</v>
      </c>
      <c r="AT127" s="1102" t="s">
        <v>726</v>
      </c>
      <c r="AU127" s="1102">
        <v>45</v>
      </c>
      <c r="AW127" s="1103">
        <v>46113</v>
      </c>
      <c r="AX127" s="1102" t="s">
        <v>84</v>
      </c>
      <c r="AY127" s="1103">
        <v>46125</v>
      </c>
      <c r="AZ127" s="1102">
        <v>7</v>
      </c>
      <c r="BA127" s="1103">
        <v>46120</v>
      </c>
      <c r="BB127" s="1102">
        <v>2026</v>
      </c>
      <c r="BC127" s="1102">
        <v>4</v>
      </c>
      <c r="BD127" s="1102">
        <v>15</v>
      </c>
      <c r="BE127" s="1102">
        <v>33</v>
      </c>
      <c r="BF127" s="1102">
        <v>660</v>
      </c>
      <c r="BG127" s="1102" t="s">
        <v>108</v>
      </c>
      <c r="BH127" s="1102" t="s">
        <v>109</v>
      </c>
    </row>
    <row r="128" spans="1:60">
      <c r="A128" s="1102" t="s">
        <v>727</v>
      </c>
      <c r="B128" s="1102" t="s">
        <v>111</v>
      </c>
      <c r="C128" s="1102" t="s">
        <v>168</v>
      </c>
      <c r="D128" s="1102" t="s">
        <v>63</v>
      </c>
      <c r="E128" s="1102" t="s">
        <v>64</v>
      </c>
      <c r="F128" s="1102" t="s">
        <v>100</v>
      </c>
      <c r="G128" s="1102" t="s">
        <v>402</v>
      </c>
      <c r="H128" s="1102" t="s">
        <v>67</v>
      </c>
      <c r="I128" s="1102" t="s">
        <v>68</v>
      </c>
      <c r="J128" s="1102" t="s">
        <v>483</v>
      </c>
      <c r="M128" s="1102" t="s">
        <v>68</v>
      </c>
      <c r="N128" s="1102" t="s">
        <v>68</v>
      </c>
      <c r="O128" s="1102" t="s">
        <v>170</v>
      </c>
      <c r="P128" s="1102" t="s">
        <v>171</v>
      </c>
      <c r="Q128" s="1102" t="s">
        <v>172</v>
      </c>
      <c r="R128" s="1102" t="s">
        <v>73</v>
      </c>
      <c r="S128" s="1102" t="s">
        <v>120</v>
      </c>
      <c r="T128" s="1102">
        <v>555</v>
      </c>
      <c r="U128" s="1102">
        <v>3300</v>
      </c>
      <c r="V128" s="1102">
        <v>1.8320000000000001</v>
      </c>
      <c r="W128" s="1102">
        <v>100</v>
      </c>
      <c r="X128" s="1102">
        <v>5</v>
      </c>
      <c r="Y128" s="1102" t="s">
        <v>75</v>
      </c>
      <c r="Z128" s="1102" t="s">
        <v>75</v>
      </c>
      <c r="AB128" s="1103">
        <v>46056</v>
      </c>
      <c r="AC128" s="1102">
        <v>6</v>
      </c>
      <c r="AD128" s="1102" t="s">
        <v>728</v>
      </c>
      <c r="AF128" s="1102" t="s">
        <v>122</v>
      </c>
      <c r="AG128" s="1102" t="s">
        <v>123</v>
      </c>
      <c r="AH128" s="1102" t="s">
        <v>105</v>
      </c>
      <c r="AI128" s="1103">
        <v>46062</v>
      </c>
      <c r="AJ128" s="1103">
        <v>46067</v>
      </c>
      <c r="AK128" s="1103">
        <v>46068</v>
      </c>
      <c r="AL128" s="1103">
        <v>46102</v>
      </c>
      <c r="AM128" s="1103">
        <v>46111</v>
      </c>
      <c r="AN128" s="1103">
        <v>46113</v>
      </c>
      <c r="AO128" s="1102" t="s">
        <v>402</v>
      </c>
      <c r="AP128" s="1102" t="s">
        <v>623</v>
      </c>
      <c r="AQ128" s="1102" t="s">
        <v>161</v>
      </c>
      <c r="AR128" s="1102" t="s">
        <v>725</v>
      </c>
      <c r="AS128" s="1102" t="s">
        <v>726</v>
      </c>
      <c r="AT128" s="1102" t="s">
        <v>726</v>
      </c>
      <c r="AU128" s="1102">
        <v>45</v>
      </c>
      <c r="AW128" s="1103">
        <v>46113</v>
      </c>
      <c r="AX128" s="1102" t="s">
        <v>84</v>
      </c>
      <c r="AY128" s="1103">
        <v>46125</v>
      </c>
      <c r="AZ128" s="1102">
        <v>7</v>
      </c>
      <c r="BA128" s="1103">
        <v>46120</v>
      </c>
      <c r="BB128" s="1102">
        <v>2026</v>
      </c>
      <c r="BC128" s="1102">
        <v>4</v>
      </c>
      <c r="BD128" s="1102">
        <v>15</v>
      </c>
      <c r="BE128" s="1102">
        <v>33</v>
      </c>
      <c r="BF128" s="1102">
        <v>660</v>
      </c>
      <c r="BG128" s="1102" t="s">
        <v>108</v>
      </c>
      <c r="BH128" s="1102" t="s">
        <v>109</v>
      </c>
    </row>
    <row r="129" spans="1:60">
      <c r="A129" s="1102" t="s">
        <v>525</v>
      </c>
      <c r="B129" s="1102" t="s">
        <v>111</v>
      </c>
      <c r="C129" s="1102" t="s">
        <v>203</v>
      </c>
      <c r="D129" s="1102" t="s">
        <v>63</v>
      </c>
      <c r="E129" s="1102" t="s">
        <v>64</v>
      </c>
      <c r="F129" s="1102" t="s">
        <v>100</v>
      </c>
      <c r="G129" s="1102" t="s">
        <v>402</v>
      </c>
      <c r="H129" s="1102" t="s">
        <v>67</v>
      </c>
      <c r="I129" s="1102" t="s">
        <v>68</v>
      </c>
      <c r="J129" s="1102" t="s">
        <v>483</v>
      </c>
      <c r="M129" s="1102" t="s">
        <v>68</v>
      </c>
      <c r="N129" s="1102" t="s">
        <v>68</v>
      </c>
      <c r="O129" s="1102" t="s">
        <v>473</v>
      </c>
      <c r="P129" s="1102" t="s">
        <v>529</v>
      </c>
      <c r="Q129" s="1102" t="s">
        <v>530</v>
      </c>
      <c r="R129" s="1102" t="s">
        <v>73</v>
      </c>
      <c r="S129" s="1102" t="s">
        <v>74</v>
      </c>
      <c r="T129" s="1102">
        <v>455</v>
      </c>
      <c r="U129" s="1102">
        <v>1728</v>
      </c>
      <c r="V129" s="1102">
        <v>0.78600000000000003</v>
      </c>
      <c r="W129" s="1102">
        <v>48</v>
      </c>
      <c r="X129" s="1102">
        <v>2</v>
      </c>
      <c r="Y129" s="1102" t="s">
        <v>75</v>
      </c>
      <c r="Z129" s="1102" t="s">
        <v>75</v>
      </c>
      <c r="AB129" s="1103">
        <v>46056</v>
      </c>
      <c r="AC129" s="1102">
        <v>6</v>
      </c>
      <c r="AD129" s="1102" t="s">
        <v>729</v>
      </c>
      <c r="AF129" s="1102" t="s">
        <v>122</v>
      </c>
      <c r="AG129" s="1102" t="s">
        <v>123</v>
      </c>
      <c r="AH129" s="1102" t="s">
        <v>105</v>
      </c>
      <c r="AI129" s="1103">
        <v>46062</v>
      </c>
      <c r="AJ129" s="1103">
        <v>46067</v>
      </c>
      <c r="AK129" s="1103">
        <v>46068</v>
      </c>
      <c r="AL129" s="1103">
        <v>46102</v>
      </c>
      <c r="AM129" s="1103">
        <v>46111</v>
      </c>
      <c r="AN129" s="1103">
        <v>46113</v>
      </c>
      <c r="AO129" s="1102" t="s">
        <v>402</v>
      </c>
      <c r="AP129" s="1102" t="s">
        <v>623</v>
      </c>
      <c r="AQ129" s="1102" t="s">
        <v>161</v>
      </c>
      <c r="AR129" s="1102" t="s">
        <v>725</v>
      </c>
      <c r="AS129" s="1102" t="s">
        <v>726</v>
      </c>
      <c r="AT129" s="1102" t="s">
        <v>726</v>
      </c>
      <c r="AU129" s="1102">
        <v>45</v>
      </c>
      <c r="AW129" s="1103">
        <v>46113</v>
      </c>
      <c r="AX129" s="1102" t="s">
        <v>84</v>
      </c>
      <c r="AY129" s="1103">
        <v>46125</v>
      </c>
      <c r="AZ129" s="1102">
        <v>7</v>
      </c>
      <c r="BA129" s="1103">
        <v>46120</v>
      </c>
      <c r="BB129" s="1102">
        <v>2026</v>
      </c>
      <c r="BC129" s="1102">
        <v>4</v>
      </c>
      <c r="BD129" s="1102">
        <v>15</v>
      </c>
      <c r="BE129" s="1102">
        <v>36</v>
      </c>
      <c r="BF129" s="1102">
        <v>864</v>
      </c>
      <c r="BG129" s="1102" t="s">
        <v>85</v>
      </c>
      <c r="BH129" s="1102" t="s">
        <v>109</v>
      </c>
    </row>
    <row r="130" spans="1:60">
      <c r="A130" s="1102" t="s">
        <v>638</v>
      </c>
      <c r="B130" s="1102" t="s">
        <v>111</v>
      </c>
      <c r="C130" s="1102" t="s">
        <v>203</v>
      </c>
      <c r="D130" s="1102" t="s">
        <v>63</v>
      </c>
      <c r="E130" s="1102" t="s">
        <v>64</v>
      </c>
      <c r="F130" s="1102" t="s">
        <v>100</v>
      </c>
      <c r="G130" s="1102" t="s">
        <v>402</v>
      </c>
      <c r="H130" s="1102" t="s">
        <v>67</v>
      </c>
      <c r="I130" s="1102" t="s">
        <v>68</v>
      </c>
      <c r="J130" s="1102" t="s">
        <v>483</v>
      </c>
      <c r="M130" s="1102" t="s">
        <v>68</v>
      </c>
      <c r="N130" s="1102" t="s">
        <v>68</v>
      </c>
      <c r="O130" s="1102" t="s">
        <v>473</v>
      </c>
      <c r="P130" s="1102" t="s">
        <v>474</v>
      </c>
      <c r="Q130" s="1102" t="s">
        <v>475</v>
      </c>
      <c r="R130" s="1102" t="s">
        <v>73</v>
      </c>
      <c r="S130" s="1102" t="s">
        <v>74</v>
      </c>
      <c r="T130" s="1102">
        <v>460</v>
      </c>
      <c r="U130" s="1102">
        <v>864</v>
      </c>
      <c r="V130" s="1102">
        <v>0.39700000000000002</v>
      </c>
      <c r="W130" s="1102">
        <v>24</v>
      </c>
      <c r="X130" s="1102">
        <v>1</v>
      </c>
      <c r="Y130" s="1102" t="s">
        <v>75</v>
      </c>
      <c r="Z130" s="1102" t="s">
        <v>75</v>
      </c>
      <c r="AB130" s="1103">
        <v>46057</v>
      </c>
      <c r="AC130" s="1102">
        <v>6</v>
      </c>
      <c r="AD130" s="1102" t="s">
        <v>730</v>
      </c>
      <c r="AF130" s="1102" t="s">
        <v>122</v>
      </c>
      <c r="AG130" s="1102" t="s">
        <v>123</v>
      </c>
      <c r="AH130" s="1102" t="s">
        <v>105</v>
      </c>
      <c r="AI130" s="1103">
        <v>46062</v>
      </c>
      <c r="AJ130" s="1103">
        <v>46067</v>
      </c>
      <c r="AK130" s="1103">
        <v>46069</v>
      </c>
      <c r="AL130" s="1103">
        <v>46099</v>
      </c>
      <c r="AM130" s="1103">
        <v>46126</v>
      </c>
      <c r="AN130" s="1103">
        <v>46127</v>
      </c>
      <c r="AO130" s="1102" t="s">
        <v>402</v>
      </c>
      <c r="AP130" s="1102" t="s">
        <v>731</v>
      </c>
      <c r="AQ130" s="1102" t="s">
        <v>80</v>
      </c>
      <c r="AR130" s="1102" t="s">
        <v>732</v>
      </c>
      <c r="AS130" s="1102" t="s">
        <v>733</v>
      </c>
      <c r="AT130" s="1102" t="s">
        <v>733</v>
      </c>
      <c r="AU130" s="1102">
        <v>58</v>
      </c>
      <c r="AW130" s="1103">
        <v>46127</v>
      </c>
      <c r="AX130" s="1102" t="s">
        <v>84</v>
      </c>
      <c r="AY130" s="1103">
        <v>46134</v>
      </c>
      <c r="AZ130" s="1102">
        <v>7</v>
      </c>
      <c r="BA130" s="1103">
        <v>46134</v>
      </c>
      <c r="BB130" s="1102">
        <v>2026</v>
      </c>
      <c r="BC130" s="1102">
        <v>4</v>
      </c>
      <c r="BD130" s="1102">
        <v>17</v>
      </c>
      <c r="BE130" s="1102">
        <v>36</v>
      </c>
      <c r="BF130" s="1102">
        <v>864</v>
      </c>
      <c r="BG130" s="1102" t="s">
        <v>85</v>
      </c>
      <c r="BH130" s="1102" t="s">
        <v>109</v>
      </c>
    </row>
    <row r="131" spans="1:60">
      <c r="A131" s="1102" t="s">
        <v>734</v>
      </c>
      <c r="B131" s="1102" t="s">
        <v>111</v>
      </c>
      <c r="C131" s="1102" t="s">
        <v>387</v>
      </c>
      <c r="D131" s="1102" t="s">
        <v>63</v>
      </c>
      <c r="E131" s="1102" t="s">
        <v>64</v>
      </c>
      <c r="F131" s="1102" t="s">
        <v>100</v>
      </c>
      <c r="G131" s="1102" t="s">
        <v>402</v>
      </c>
      <c r="H131" s="1102" t="s">
        <v>67</v>
      </c>
      <c r="I131" s="1102" t="s">
        <v>68</v>
      </c>
      <c r="J131" s="1102" t="s">
        <v>293</v>
      </c>
      <c r="M131" s="1102" t="s">
        <v>68</v>
      </c>
      <c r="N131" s="1102" t="s">
        <v>68</v>
      </c>
      <c r="O131" s="1102" t="s">
        <v>132</v>
      </c>
      <c r="P131" s="1102" t="s">
        <v>189</v>
      </c>
      <c r="Q131" s="1102" t="s">
        <v>190</v>
      </c>
      <c r="R131" s="1102" t="s">
        <v>73</v>
      </c>
      <c r="S131" s="1102" t="s">
        <v>74</v>
      </c>
      <c r="T131" s="1102">
        <v>465</v>
      </c>
      <c r="U131" s="1102">
        <v>2592</v>
      </c>
      <c r="V131" s="1102">
        <v>1.2050000000000001</v>
      </c>
      <c r="W131" s="1102">
        <v>72</v>
      </c>
      <c r="X131" s="1102">
        <v>3</v>
      </c>
      <c r="Y131" s="1102" t="s">
        <v>75</v>
      </c>
      <c r="Z131" s="1102" t="s">
        <v>75</v>
      </c>
      <c r="AB131" s="1103">
        <v>46057</v>
      </c>
      <c r="AC131" s="1102">
        <v>6</v>
      </c>
      <c r="AD131" s="1102" t="s">
        <v>735</v>
      </c>
      <c r="AF131" s="1102" t="s">
        <v>122</v>
      </c>
      <c r="AG131" s="1102" t="s">
        <v>123</v>
      </c>
      <c r="AH131" s="1102" t="s">
        <v>105</v>
      </c>
      <c r="AI131" s="1103">
        <v>46062</v>
      </c>
      <c r="AJ131" s="1103">
        <v>46067</v>
      </c>
      <c r="AK131" s="1103">
        <v>46069</v>
      </c>
      <c r="AL131" s="1103">
        <v>46099</v>
      </c>
      <c r="AM131" s="1103">
        <v>46126</v>
      </c>
      <c r="AN131" s="1103">
        <v>46127</v>
      </c>
      <c r="AO131" s="1102" t="s">
        <v>402</v>
      </c>
      <c r="AP131" s="1102" t="s">
        <v>731</v>
      </c>
      <c r="AQ131" s="1102" t="s">
        <v>80</v>
      </c>
      <c r="AR131" s="1102" t="s">
        <v>732</v>
      </c>
      <c r="AS131" s="1102" t="s">
        <v>733</v>
      </c>
      <c r="AT131" s="1102" t="s">
        <v>733</v>
      </c>
      <c r="AU131" s="1102">
        <v>58</v>
      </c>
      <c r="AW131" s="1103">
        <v>46127</v>
      </c>
      <c r="AX131" s="1102" t="s">
        <v>84</v>
      </c>
      <c r="AY131" s="1103">
        <v>46134</v>
      </c>
      <c r="AZ131" s="1102">
        <v>7</v>
      </c>
      <c r="BA131" s="1103">
        <v>46134</v>
      </c>
      <c r="BB131" s="1102">
        <v>2026</v>
      </c>
      <c r="BC131" s="1102">
        <v>4</v>
      </c>
      <c r="BD131" s="1102">
        <v>17</v>
      </c>
      <c r="BE131" s="1102">
        <v>36</v>
      </c>
      <c r="BF131" s="1102">
        <v>864</v>
      </c>
      <c r="BG131" s="1102" t="s">
        <v>108</v>
      </c>
      <c r="BH131" s="1102" t="s">
        <v>109</v>
      </c>
    </row>
    <row r="132" spans="1:60">
      <c r="A132" s="1102" t="s">
        <v>736</v>
      </c>
      <c r="B132" s="1102" t="s">
        <v>111</v>
      </c>
      <c r="C132" s="1102" t="s">
        <v>168</v>
      </c>
      <c r="D132" s="1102" t="s">
        <v>63</v>
      </c>
      <c r="E132" s="1102" t="s">
        <v>64</v>
      </c>
      <c r="F132" s="1102" t="s">
        <v>65</v>
      </c>
      <c r="G132" s="1102" t="s">
        <v>402</v>
      </c>
      <c r="H132" s="1102" t="s">
        <v>67</v>
      </c>
      <c r="I132" s="1102" t="s">
        <v>68</v>
      </c>
      <c r="J132" s="1102" t="s">
        <v>737</v>
      </c>
      <c r="M132" s="1102" t="s">
        <v>68</v>
      </c>
      <c r="N132" s="1102" t="s">
        <v>68</v>
      </c>
      <c r="O132" s="1102" t="s">
        <v>170</v>
      </c>
      <c r="P132" s="1102" t="s">
        <v>171</v>
      </c>
      <c r="Q132" s="1102" t="s">
        <v>172</v>
      </c>
      <c r="R132" s="1102" t="s">
        <v>73</v>
      </c>
      <c r="S132" s="1102" t="s">
        <v>120</v>
      </c>
      <c r="T132" s="1102">
        <v>555</v>
      </c>
      <c r="U132" s="1102">
        <v>3960</v>
      </c>
      <c r="V132" s="1102">
        <v>2.198</v>
      </c>
      <c r="W132" s="1102">
        <v>120</v>
      </c>
      <c r="X132" s="1102">
        <v>6</v>
      </c>
      <c r="Y132" s="1102" t="s">
        <v>75</v>
      </c>
      <c r="Z132" s="1102" t="s">
        <v>75</v>
      </c>
      <c r="AB132" s="1103">
        <v>46054</v>
      </c>
      <c r="AC132" s="1102">
        <v>5</v>
      </c>
      <c r="AD132" s="1102" t="s">
        <v>738</v>
      </c>
      <c r="AF132" s="1102" t="s">
        <v>122</v>
      </c>
      <c r="AG132" s="1102" t="s">
        <v>123</v>
      </c>
      <c r="AH132" s="1102" t="s">
        <v>78</v>
      </c>
      <c r="AI132" s="1103">
        <v>46063</v>
      </c>
      <c r="AJ132" s="1103">
        <v>46065</v>
      </c>
      <c r="AK132" s="1103">
        <v>46078</v>
      </c>
      <c r="AL132" s="1103">
        <v>46111</v>
      </c>
      <c r="AM132" s="1103">
        <v>46136</v>
      </c>
      <c r="AN132" s="1103">
        <v>46137</v>
      </c>
      <c r="AO132" s="1102" t="s">
        <v>402</v>
      </c>
      <c r="AP132" s="1102" t="s">
        <v>739</v>
      </c>
      <c r="AQ132" s="1102" t="s">
        <v>80</v>
      </c>
      <c r="AR132" s="1102" t="s">
        <v>740</v>
      </c>
      <c r="AS132" s="1102" t="s">
        <v>741</v>
      </c>
      <c r="AT132" s="1102" t="s">
        <v>741</v>
      </c>
      <c r="AU132" s="1102">
        <v>59</v>
      </c>
      <c r="AW132" s="1103">
        <v>46137</v>
      </c>
      <c r="AX132" s="1102" t="s">
        <v>84</v>
      </c>
      <c r="AY132" s="1103">
        <v>46150</v>
      </c>
      <c r="AZ132" s="1102">
        <v>8</v>
      </c>
      <c r="BA132" s="1103">
        <v>46145</v>
      </c>
      <c r="BB132" s="1102">
        <v>2026</v>
      </c>
      <c r="BC132" s="1102">
        <v>5</v>
      </c>
      <c r="BD132" s="1102">
        <v>18</v>
      </c>
      <c r="BE132" s="1102">
        <v>33</v>
      </c>
      <c r="BF132" s="1102">
        <v>660</v>
      </c>
      <c r="BG132" s="1102" t="s">
        <v>108</v>
      </c>
      <c r="BH132" s="1102" t="s">
        <v>86</v>
      </c>
    </row>
    <row r="133" spans="1:60">
      <c r="A133" s="1102" t="s">
        <v>742</v>
      </c>
      <c r="B133" s="1102" t="s">
        <v>111</v>
      </c>
      <c r="C133" s="1102" t="s">
        <v>168</v>
      </c>
      <c r="D133" s="1102" t="s">
        <v>63</v>
      </c>
      <c r="E133" s="1102" t="s">
        <v>64</v>
      </c>
      <c r="F133" s="1102" t="s">
        <v>65</v>
      </c>
      <c r="G133" s="1102" t="s">
        <v>402</v>
      </c>
      <c r="H133" s="1102" t="s">
        <v>67</v>
      </c>
      <c r="I133" s="1102" t="s">
        <v>68</v>
      </c>
      <c r="J133" s="1102" t="s">
        <v>737</v>
      </c>
      <c r="M133" s="1102" t="s">
        <v>68</v>
      </c>
      <c r="N133" s="1102" t="s">
        <v>68</v>
      </c>
      <c r="O133" s="1102" t="s">
        <v>170</v>
      </c>
      <c r="P133" s="1102" t="s">
        <v>171</v>
      </c>
      <c r="Q133" s="1102" t="s">
        <v>172</v>
      </c>
      <c r="R133" s="1102" t="s">
        <v>73</v>
      </c>
      <c r="S133" s="1102" t="s">
        <v>120</v>
      </c>
      <c r="T133" s="1102">
        <v>555</v>
      </c>
      <c r="U133" s="1102">
        <v>660</v>
      </c>
      <c r="V133" s="1102">
        <v>0.36599999999999999</v>
      </c>
      <c r="W133" s="1102">
        <v>20</v>
      </c>
      <c r="X133" s="1102">
        <v>1</v>
      </c>
      <c r="Y133" s="1102" t="s">
        <v>75</v>
      </c>
      <c r="Z133" s="1102" t="s">
        <v>75</v>
      </c>
      <c r="AB133" s="1103">
        <v>46054</v>
      </c>
      <c r="AC133" s="1102">
        <v>5</v>
      </c>
      <c r="AD133" s="1102" t="s">
        <v>743</v>
      </c>
      <c r="AF133" s="1102" t="s">
        <v>122</v>
      </c>
      <c r="AG133" s="1102" t="s">
        <v>123</v>
      </c>
      <c r="AH133" s="1102" t="s">
        <v>78</v>
      </c>
      <c r="AI133" s="1103">
        <v>46063</v>
      </c>
      <c r="AJ133" s="1103">
        <v>46065</v>
      </c>
      <c r="AK133" s="1103">
        <v>46078</v>
      </c>
      <c r="AL133" s="1103">
        <v>46101</v>
      </c>
      <c r="AM133" s="1103">
        <v>46136</v>
      </c>
      <c r="AN133" s="1103">
        <v>46137</v>
      </c>
      <c r="AO133" s="1102" t="s">
        <v>402</v>
      </c>
      <c r="AP133" s="1102" t="s">
        <v>739</v>
      </c>
      <c r="AQ133" s="1102" t="s">
        <v>80</v>
      </c>
      <c r="AR133" s="1102" t="s">
        <v>740</v>
      </c>
      <c r="AS133" s="1102" t="s">
        <v>741</v>
      </c>
      <c r="AT133" s="1102" t="s">
        <v>741</v>
      </c>
      <c r="AU133" s="1102">
        <v>59</v>
      </c>
      <c r="AW133" s="1103">
        <v>46137</v>
      </c>
      <c r="AX133" s="1102" t="s">
        <v>84</v>
      </c>
      <c r="AY133" s="1103">
        <v>46150</v>
      </c>
      <c r="AZ133" s="1102">
        <v>8</v>
      </c>
      <c r="BA133" s="1103">
        <v>46145</v>
      </c>
      <c r="BB133" s="1102">
        <v>2026</v>
      </c>
      <c r="BC133" s="1102">
        <v>5</v>
      </c>
      <c r="BD133" s="1102">
        <v>18</v>
      </c>
      <c r="BE133" s="1102">
        <v>33</v>
      </c>
      <c r="BF133" s="1102">
        <v>660</v>
      </c>
      <c r="BG133" s="1102" t="s">
        <v>108</v>
      </c>
      <c r="BH133" s="1102" t="s">
        <v>86</v>
      </c>
    </row>
    <row r="134" spans="1:60">
      <c r="A134" s="1102" t="s">
        <v>744</v>
      </c>
      <c r="B134" s="1102" t="s">
        <v>111</v>
      </c>
      <c r="C134" s="1102" t="s">
        <v>168</v>
      </c>
      <c r="D134" s="1102" t="s">
        <v>63</v>
      </c>
      <c r="E134" s="1102" t="s">
        <v>64</v>
      </c>
      <c r="F134" s="1102" t="s">
        <v>65</v>
      </c>
      <c r="G134" s="1102" t="s">
        <v>402</v>
      </c>
      <c r="H134" s="1102" t="s">
        <v>67</v>
      </c>
      <c r="I134" s="1102" t="s">
        <v>68</v>
      </c>
      <c r="J134" s="1102" t="s">
        <v>737</v>
      </c>
      <c r="M134" s="1102" t="s">
        <v>68</v>
      </c>
      <c r="N134" s="1102" t="s">
        <v>68</v>
      </c>
      <c r="O134" s="1102" t="s">
        <v>170</v>
      </c>
      <c r="P134" s="1102" t="s">
        <v>171</v>
      </c>
      <c r="Q134" s="1102" t="s">
        <v>172</v>
      </c>
      <c r="R134" s="1102" t="s">
        <v>73</v>
      </c>
      <c r="S134" s="1102" t="s">
        <v>120</v>
      </c>
      <c r="T134" s="1102">
        <v>555</v>
      </c>
      <c r="U134" s="1102">
        <v>660</v>
      </c>
      <c r="V134" s="1102">
        <v>0.36599999999999999</v>
      </c>
      <c r="W134" s="1102">
        <v>20</v>
      </c>
      <c r="X134" s="1102">
        <v>1</v>
      </c>
      <c r="Y134" s="1102" t="s">
        <v>75</v>
      </c>
      <c r="Z134" s="1102" t="s">
        <v>75</v>
      </c>
      <c r="AB134" s="1103">
        <v>46054</v>
      </c>
      <c r="AC134" s="1102">
        <v>5</v>
      </c>
      <c r="AD134" s="1102" t="s">
        <v>745</v>
      </c>
      <c r="AF134" s="1102" t="s">
        <v>122</v>
      </c>
      <c r="AG134" s="1102" t="s">
        <v>123</v>
      </c>
      <c r="AH134" s="1102" t="s">
        <v>78</v>
      </c>
      <c r="AI134" s="1103">
        <v>46063</v>
      </c>
      <c r="AJ134" s="1103">
        <v>46065</v>
      </c>
      <c r="AK134" s="1103">
        <v>46078</v>
      </c>
      <c r="AL134" s="1103">
        <v>46108</v>
      </c>
      <c r="AM134" s="1103">
        <v>46136</v>
      </c>
      <c r="AN134" s="1103">
        <v>46137</v>
      </c>
      <c r="AO134" s="1102" t="s">
        <v>402</v>
      </c>
      <c r="AP134" s="1102" t="s">
        <v>739</v>
      </c>
      <c r="AQ134" s="1102" t="s">
        <v>80</v>
      </c>
      <c r="AR134" s="1102" t="s">
        <v>740</v>
      </c>
      <c r="AS134" s="1102" t="s">
        <v>741</v>
      </c>
      <c r="AT134" s="1102" t="s">
        <v>741</v>
      </c>
      <c r="AU134" s="1102">
        <v>59</v>
      </c>
      <c r="AW134" s="1103">
        <v>46137</v>
      </c>
      <c r="AX134" s="1102" t="s">
        <v>84</v>
      </c>
      <c r="AY134" s="1103">
        <v>46150</v>
      </c>
      <c r="AZ134" s="1102">
        <v>8</v>
      </c>
      <c r="BA134" s="1103">
        <v>46145</v>
      </c>
      <c r="BB134" s="1102">
        <v>2026</v>
      </c>
      <c r="BC134" s="1102">
        <v>5</v>
      </c>
      <c r="BD134" s="1102">
        <v>18</v>
      </c>
      <c r="BE134" s="1102">
        <v>33</v>
      </c>
      <c r="BF134" s="1102">
        <v>660</v>
      </c>
      <c r="BG134" s="1102" t="s">
        <v>108</v>
      </c>
      <c r="BH134" s="1102" t="s">
        <v>86</v>
      </c>
    </row>
    <row r="135" spans="1:60">
      <c r="A135" s="1102" t="s">
        <v>746</v>
      </c>
      <c r="B135" s="1102" t="s">
        <v>111</v>
      </c>
      <c r="C135" s="1102" t="s">
        <v>112</v>
      </c>
      <c r="D135" s="1102" t="s">
        <v>113</v>
      </c>
      <c r="E135" s="1102" t="s">
        <v>64</v>
      </c>
      <c r="F135" s="1102" t="s">
        <v>114</v>
      </c>
      <c r="G135" s="1102" t="s">
        <v>402</v>
      </c>
      <c r="H135" s="1102" t="s">
        <v>115</v>
      </c>
      <c r="I135" s="1102" t="s">
        <v>68</v>
      </c>
      <c r="J135" s="1102" t="s">
        <v>116</v>
      </c>
      <c r="K135" s="1102" t="s">
        <v>266</v>
      </c>
      <c r="M135" s="1102" t="s">
        <v>68</v>
      </c>
      <c r="N135" s="1102" t="s">
        <v>68</v>
      </c>
      <c r="O135" s="1102" t="s">
        <v>70</v>
      </c>
      <c r="P135" s="1102" t="s">
        <v>118</v>
      </c>
      <c r="Q135" s="1102" t="s">
        <v>119</v>
      </c>
      <c r="R135" s="1102" t="s">
        <v>73</v>
      </c>
      <c r="S135" s="1102" t="s">
        <v>120</v>
      </c>
      <c r="T135" s="1102">
        <v>640</v>
      </c>
      <c r="U135" s="1102">
        <v>3456</v>
      </c>
      <c r="V135" s="1102">
        <v>2.2120000000000002</v>
      </c>
      <c r="W135" s="1102">
        <v>96</v>
      </c>
      <c r="X135" s="1102">
        <v>6</v>
      </c>
      <c r="Y135" s="1102" t="s">
        <v>75</v>
      </c>
      <c r="Z135" s="1102" t="s">
        <v>75</v>
      </c>
      <c r="AB135" s="1103">
        <v>46057</v>
      </c>
      <c r="AC135" s="1102">
        <v>6</v>
      </c>
      <c r="AD135" s="1102" t="s">
        <v>747</v>
      </c>
      <c r="AF135" s="1102" t="s">
        <v>122</v>
      </c>
      <c r="AG135" s="1102" t="s">
        <v>123</v>
      </c>
      <c r="AH135" s="1102" t="s">
        <v>124</v>
      </c>
      <c r="AI135" s="1103">
        <v>46063</v>
      </c>
      <c r="AJ135" s="1103">
        <v>46067</v>
      </c>
      <c r="AK135" s="1103">
        <v>46067</v>
      </c>
      <c r="AL135" s="1103">
        <v>46107</v>
      </c>
      <c r="AM135" s="1103">
        <v>46112</v>
      </c>
      <c r="AN135" s="1103">
        <v>46112</v>
      </c>
      <c r="AO135" s="1102" t="s">
        <v>402</v>
      </c>
      <c r="AP135" s="1102" t="s">
        <v>748</v>
      </c>
      <c r="AQ135" s="1102" t="s">
        <v>80</v>
      </c>
      <c r="AR135" s="1102" t="s">
        <v>749</v>
      </c>
      <c r="AS135" s="1102" t="s">
        <v>750</v>
      </c>
      <c r="AT135" s="1102" t="s">
        <v>750</v>
      </c>
      <c r="AU135" s="1102">
        <v>45</v>
      </c>
      <c r="AW135" s="1103">
        <v>46112</v>
      </c>
      <c r="AX135" s="1102" t="s">
        <v>84</v>
      </c>
      <c r="AY135" s="1103">
        <v>46121</v>
      </c>
      <c r="AZ135" s="1102">
        <v>9</v>
      </c>
      <c r="BA135" s="1103">
        <v>46121</v>
      </c>
      <c r="BB135" s="1102">
        <v>2026</v>
      </c>
      <c r="BC135" s="1102">
        <v>4</v>
      </c>
      <c r="BD135" s="1102">
        <v>15</v>
      </c>
      <c r="BE135" s="1102">
        <v>36</v>
      </c>
      <c r="BF135" s="1102">
        <v>576</v>
      </c>
      <c r="BG135" s="1102" t="s">
        <v>128</v>
      </c>
      <c r="BH135" s="1102" t="s">
        <v>86</v>
      </c>
    </row>
    <row r="136" spans="1:60">
      <c r="A136" s="1102" t="s">
        <v>751</v>
      </c>
      <c r="B136" s="1102" t="s">
        <v>111</v>
      </c>
      <c r="C136" s="1102" t="s">
        <v>112</v>
      </c>
      <c r="D136" s="1102" t="s">
        <v>113</v>
      </c>
      <c r="E136" s="1102" t="s">
        <v>64</v>
      </c>
      <c r="F136" s="1102" t="s">
        <v>114</v>
      </c>
      <c r="G136" s="1102" t="s">
        <v>402</v>
      </c>
      <c r="H136" s="1102" t="s">
        <v>115</v>
      </c>
      <c r="I136" s="1102" t="s">
        <v>68</v>
      </c>
      <c r="J136" s="1102" t="s">
        <v>116</v>
      </c>
      <c r="K136" s="1102" t="s">
        <v>266</v>
      </c>
      <c r="M136" s="1102" t="s">
        <v>68</v>
      </c>
      <c r="N136" s="1102" t="s">
        <v>68</v>
      </c>
      <c r="O136" s="1102" t="s">
        <v>70</v>
      </c>
      <c r="P136" s="1102" t="s">
        <v>118</v>
      </c>
      <c r="Q136" s="1102" t="s">
        <v>119</v>
      </c>
      <c r="R136" s="1102" t="s">
        <v>73</v>
      </c>
      <c r="S136" s="1102" t="s">
        <v>120</v>
      </c>
      <c r="T136" s="1102">
        <v>640</v>
      </c>
      <c r="U136" s="1102">
        <v>1152</v>
      </c>
      <c r="V136" s="1102">
        <v>0.73699999999999999</v>
      </c>
      <c r="W136" s="1102">
        <v>32</v>
      </c>
      <c r="X136" s="1102">
        <v>2</v>
      </c>
      <c r="Y136" s="1102" t="s">
        <v>75</v>
      </c>
      <c r="Z136" s="1102" t="s">
        <v>75</v>
      </c>
      <c r="AB136" s="1103">
        <v>46058</v>
      </c>
      <c r="AC136" s="1102">
        <v>6</v>
      </c>
      <c r="AD136" s="1102" t="s">
        <v>752</v>
      </c>
      <c r="AF136" s="1102" t="s">
        <v>122</v>
      </c>
      <c r="AG136" s="1102" t="s">
        <v>123</v>
      </c>
      <c r="AH136" s="1102" t="s">
        <v>124</v>
      </c>
      <c r="AI136" s="1103">
        <v>46063</v>
      </c>
      <c r="AJ136" s="1103">
        <v>46065</v>
      </c>
      <c r="AK136" s="1103">
        <v>46065</v>
      </c>
      <c r="AL136" s="1103">
        <v>46114</v>
      </c>
      <c r="AM136" s="1103">
        <v>46125</v>
      </c>
      <c r="AN136" s="1103">
        <v>46126</v>
      </c>
      <c r="AO136" s="1102" t="s">
        <v>402</v>
      </c>
      <c r="AP136" s="1102" t="s">
        <v>739</v>
      </c>
      <c r="AQ136" s="1102" t="s">
        <v>80</v>
      </c>
      <c r="AR136" s="1102" t="s">
        <v>753</v>
      </c>
      <c r="AS136" s="1102" t="s">
        <v>754</v>
      </c>
      <c r="AT136" s="1102" t="s">
        <v>754</v>
      </c>
      <c r="AU136" s="1102">
        <v>61</v>
      </c>
      <c r="AW136" s="1103">
        <v>46126</v>
      </c>
      <c r="AX136" s="1102" t="s">
        <v>84</v>
      </c>
      <c r="AY136" s="1103">
        <v>46135</v>
      </c>
      <c r="AZ136" s="1102">
        <v>9</v>
      </c>
      <c r="BA136" s="1103">
        <v>46135</v>
      </c>
      <c r="BB136" s="1102">
        <v>2026</v>
      </c>
      <c r="BC136" s="1102">
        <v>4</v>
      </c>
      <c r="BD136" s="1102">
        <v>17</v>
      </c>
      <c r="BE136" s="1102">
        <v>36</v>
      </c>
      <c r="BF136" s="1102">
        <v>576</v>
      </c>
      <c r="BG136" s="1102" t="s">
        <v>128</v>
      </c>
      <c r="BH136" s="1102" t="s">
        <v>86</v>
      </c>
    </row>
    <row r="137" spans="1:60">
      <c r="A137" s="1102" t="s">
        <v>755</v>
      </c>
      <c r="B137" s="1102" t="s">
        <v>111</v>
      </c>
      <c r="C137" s="1102" t="s">
        <v>112</v>
      </c>
      <c r="D137" s="1102" t="s">
        <v>113</v>
      </c>
      <c r="E137" s="1102" t="s">
        <v>64</v>
      </c>
      <c r="F137" s="1102" t="s">
        <v>114</v>
      </c>
      <c r="G137" s="1102" t="s">
        <v>402</v>
      </c>
      <c r="H137" s="1102" t="s">
        <v>115</v>
      </c>
      <c r="I137" s="1102" t="s">
        <v>68</v>
      </c>
      <c r="J137" s="1102" t="s">
        <v>116</v>
      </c>
      <c r="K137" s="1102" t="s">
        <v>266</v>
      </c>
      <c r="M137" s="1102" t="s">
        <v>68</v>
      </c>
      <c r="N137" s="1102" t="s">
        <v>68</v>
      </c>
      <c r="O137" s="1102" t="s">
        <v>70</v>
      </c>
      <c r="P137" s="1102" t="s">
        <v>118</v>
      </c>
      <c r="Q137" s="1102" t="s">
        <v>119</v>
      </c>
      <c r="R137" s="1102" t="s">
        <v>73</v>
      </c>
      <c r="S137" s="1102" t="s">
        <v>120</v>
      </c>
      <c r="T137" s="1102">
        <v>640</v>
      </c>
      <c r="U137" s="1102">
        <v>4032</v>
      </c>
      <c r="V137" s="1102">
        <v>2.58</v>
      </c>
      <c r="W137" s="1102">
        <v>112</v>
      </c>
      <c r="X137" s="1102">
        <v>7</v>
      </c>
      <c r="Y137" s="1102" t="s">
        <v>75</v>
      </c>
      <c r="Z137" s="1102" t="s">
        <v>75</v>
      </c>
      <c r="AB137" s="1103">
        <v>46058</v>
      </c>
      <c r="AC137" s="1102">
        <v>6</v>
      </c>
      <c r="AD137" s="1102" t="s">
        <v>756</v>
      </c>
      <c r="AF137" s="1102" t="s">
        <v>122</v>
      </c>
      <c r="AG137" s="1102" t="s">
        <v>123</v>
      </c>
      <c r="AH137" s="1102" t="s">
        <v>124</v>
      </c>
      <c r="AI137" s="1103">
        <v>46063</v>
      </c>
      <c r="AJ137" s="1103">
        <v>46065</v>
      </c>
      <c r="AK137" s="1103">
        <v>46065</v>
      </c>
      <c r="AL137" s="1103">
        <v>46114</v>
      </c>
      <c r="AM137" s="1103">
        <v>46125</v>
      </c>
      <c r="AN137" s="1103">
        <v>46126</v>
      </c>
      <c r="AO137" s="1102" t="s">
        <v>402</v>
      </c>
      <c r="AP137" s="1102" t="s">
        <v>739</v>
      </c>
      <c r="AQ137" s="1102" t="s">
        <v>80</v>
      </c>
      <c r="AR137" s="1102" t="s">
        <v>753</v>
      </c>
      <c r="AS137" s="1102" t="s">
        <v>754</v>
      </c>
      <c r="AT137" s="1102" t="s">
        <v>754</v>
      </c>
      <c r="AU137" s="1102">
        <v>61</v>
      </c>
      <c r="AW137" s="1103">
        <v>46126</v>
      </c>
      <c r="AX137" s="1102" t="s">
        <v>84</v>
      </c>
      <c r="AY137" s="1103">
        <v>46135</v>
      </c>
      <c r="AZ137" s="1102">
        <v>9</v>
      </c>
      <c r="BA137" s="1103">
        <v>46135</v>
      </c>
      <c r="BB137" s="1102">
        <v>2026</v>
      </c>
      <c r="BC137" s="1102">
        <v>4</v>
      </c>
      <c r="BD137" s="1102">
        <v>17</v>
      </c>
      <c r="BE137" s="1102">
        <v>36</v>
      </c>
      <c r="BF137" s="1102">
        <v>576</v>
      </c>
      <c r="BG137" s="1102" t="s">
        <v>128</v>
      </c>
      <c r="BH137" s="1102" t="s">
        <v>86</v>
      </c>
    </row>
    <row r="138" spans="1:60">
      <c r="A138" s="1102" t="s">
        <v>757</v>
      </c>
      <c r="B138" s="1102" t="s">
        <v>111</v>
      </c>
      <c r="C138" s="1102" t="s">
        <v>112</v>
      </c>
      <c r="D138" s="1102" t="s">
        <v>113</v>
      </c>
      <c r="E138" s="1102" t="s">
        <v>64</v>
      </c>
      <c r="F138" s="1102" t="s">
        <v>114</v>
      </c>
      <c r="G138" s="1102" t="s">
        <v>402</v>
      </c>
      <c r="H138" s="1102" t="s">
        <v>115</v>
      </c>
      <c r="I138" s="1102" t="s">
        <v>68</v>
      </c>
      <c r="J138" s="1102" t="s">
        <v>116</v>
      </c>
      <c r="K138" s="1102" t="s">
        <v>266</v>
      </c>
      <c r="M138" s="1102" t="s">
        <v>68</v>
      </c>
      <c r="N138" s="1102" t="s">
        <v>68</v>
      </c>
      <c r="O138" s="1102" t="s">
        <v>70</v>
      </c>
      <c r="P138" s="1102" t="s">
        <v>118</v>
      </c>
      <c r="Q138" s="1102" t="s">
        <v>119</v>
      </c>
      <c r="R138" s="1102" t="s">
        <v>73</v>
      </c>
      <c r="S138" s="1102" t="s">
        <v>120</v>
      </c>
      <c r="T138" s="1102">
        <v>640</v>
      </c>
      <c r="U138" s="1102">
        <v>5760</v>
      </c>
      <c r="V138" s="1102">
        <v>3.6859999999999999</v>
      </c>
      <c r="W138" s="1102">
        <v>160</v>
      </c>
      <c r="X138" s="1102">
        <v>10</v>
      </c>
      <c r="Y138" s="1102" t="s">
        <v>75</v>
      </c>
      <c r="Z138" s="1102" t="s">
        <v>75</v>
      </c>
      <c r="AB138" s="1103">
        <v>46059</v>
      </c>
      <c r="AC138" s="1102">
        <v>6</v>
      </c>
      <c r="AD138" s="1102" t="s">
        <v>758</v>
      </c>
      <c r="AF138" s="1102" t="s">
        <v>122</v>
      </c>
      <c r="AG138" s="1102" t="s">
        <v>123</v>
      </c>
      <c r="AH138" s="1102" t="s">
        <v>124</v>
      </c>
      <c r="AI138" s="1103">
        <v>46063</v>
      </c>
      <c r="AJ138" s="1103">
        <v>46065</v>
      </c>
      <c r="AK138" s="1103">
        <v>46065</v>
      </c>
      <c r="AL138" s="1103">
        <v>46114</v>
      </c>
      <c r="AM138" s="1103">
        <v>46125</v>
      </c>
      <c r="AN138" s="1103">
        <v>46126</v>
      </c>
      <c r="AO138" s="1102" t="s">
        <v>402</v>
      </c>
      <c r="AP138" s="1102" t="s">
        <v>739</v>
      </c>
      <c r="AQ138" s="1102" t="s">
        <v>80</v>
      </c>
      <c r="AR138" s="1102" t="s">
        <v>759</v>
      </c>
      <c r="AS138" s="1102" t="s">
        <v>760</v>
      </c>
      <c r="AT138" s="1102" t="s">
        <v>760</v>
      </c>
      <c r="AU138" s="1102">
        <v>61</v>
      </c>
      <c r="AW138" s="1103">
        <v>46126</v>
      </c>
      <c r="AX138" s="1102" t="s">
        <v>84</v>
      </c>
      <c r="AY138" s="1103">
        <v>46135</v>
      </c>
      <c r="AZ138" s="1102">
        <v>9</v>
      </c>
      <c r="BA138" s="1103">
        <v>46135</v>
      </c>
      <c r="BB138" s="1102">
        <v>2026</v>
      </c>
      <c r="BC138" s="1102">
        <v>4</v>
      </c>
      <c r="BD138" s="1102">
        <v>17</v>
      </c>
      <c r="BE138" s="1102">
        <v>36</v>
      </c>
      <c r="BF138" s="1102">
        <v>576</v>
      </c>
      <c r="BG138" s="1102" t="s">
        <v>128</v>
      </c>
      <c r="BH138" s="1102" t="s">
        <v>86</v>
      </c>
    </row>
    <row r="139" spans="1:60">
      <c r="A139" s="1102" t="s">
        <v>112</v>
      </c>
      <c r="B139" s="1102" t="s">
        <v>111</v>
      </c>
      <c r="C139" s="1102" t="s">
        <v>203</v>
      </c>
      <c r="D139" s="1102" t="s">
        <v>113</v>
      </c>
      <c r="E139" s="1102" t="s">
        <v>64</v>
      </c>
      <c r="F139" s="1102" t="s">
        <v>114</v>
      </c>
      <c r="G139" s="1102" t="s">
        <v>402</v>
      </c>
      <c r="H139" s="1102" t="s">
        <v>115</v>
      </c>
      <c r="I139" s="1102" t="s">
        <v>68</v>
      </c>
      <c r="J139" s="1102" t="s">
        <v>116</v>
      </c>
      <c r="K139" s="1102" t="s">
        <v>266</v>
      </c>
      <c r="M139" s="1102" t="s">
        <v>68</v>
      </c>
      <c r="N139" s="1102" t="s">
        <v>68</v>
      </c>
      <c r="O139" s="1102" t="s">
        <v>70</v>
      </c>
      <c r="P139" s="1102" t="s">
        <v>118</v>
      </c>
      <c r="Q139" s="1102" t="s">
        <v>119</v>
      </c>
      <c r="R139" s="1102" t="s">
        <v>73</v>
      </c>
      <c r="S139" s="1102" t="s">
        <v>120</v>
      </c>
      <c r="T139" s="1102">
        <v>640</v>
      </c>
      <c r="U139" s="1102">
        <v>2787</v>
      </c>
      <c r="V139" s="1102">
        <v>1.784</v>
      </c>
      <c r="W139" s="1102">
        <v>77.400000000000006</v>
      </c>
      <c r="X139" s="1102">
        <v>4.8</v>
      </c>
      <c r="Y139" s="1102" t="s">
        <v>75</v>
      </c>
      <c r="Z139" s="1102" t="s">
        <v>75</v>
      </c>
      <c r="AB139" s="1103">
        <v>46059</v>
      </c>
      <c r="AC139" s="1102">
        <v>6</v>
      </c>
      <c r="AD139" s="1102" t="s">
        <v>761</v>
      </c>
      <c r="AF139" s="1102" t="s">
        <v>122</v>
      </c>
      <c r="AG139" s="1102" t="s">
        <v>123</v>
      </c>
      <c r="AH139" s="1102" t="s">
        <v>124</v>
      </c>
      <c r="AI139" s="1103">
        <v>46063</v>
      </c>
      <c r="AJ139" s="1103">
        <v>46065</v>
      </c>
      <c r="AK139" s="1103">
        <v>46065</v>
      </c>
      <c r="AL139" s="1103">
        <v>46114</v>
      </c>
      <c r="AM139" s="1103">
        <v>46125</v>
      </c>
      <c r="AN139" s="1103">
        <v>46126</v>
      </c>
      <c r="AO139" s="1102" t="s">
        <v>402</v>
      </c>
      <c r="AP139" s="1102" t="s">
        <v>739</v>
      </c>
      <c r="AQ139" s="1102" t="s">
        <v>80</v>
      </c>
      <c r="AR139" s="1102" t="s">
        <v>759</v>
      </c>
      <c r="AS139" s="1102" t="s">
        <v>760</v>
      </c>
      <c r="AT139" s="1102" t="s">
        <v>760</v>
      </c>
      <c r="AU139" s="1102">
        <v>61</v>
      </c>
      <c r="AW139" s="1103">
        <v>46126</v>
      </c>
      <c r="AX139" s="1102" t="s">
        <v>84</v>
      </c>
      <c r="AY139" s="1103">
        <v>46135</v>
      </c>
      <c r="AZ139" s="1102">
        <v>9</v>
      </c>
      <c r="BA139" s="1103">
        <v>46135</v>
      </c>
      <c r="BB139" s="1102">
        <v>2026</v>
      </c>
      <c r="BC139" s="1102">
        <v>4</v>
      </c>
      <c r="BD139" s="1102">
        <v>17</v>
      </c>
      <c r="BE139" s="1102">
        <v>36</v>
      </c>
      <c r="BF139" s="1102">
        <v>576</v>
      </c>
      <c r="BG139" s="1102" t="s">
        <v>128</v>
      </c>
      <c r="BH139" s="1102" t="s">
        <v>86</v>
      </c>
    </row>
    <row r="140" spans="1:60">
      <c r="A140" s="1102" t="s">
        <v>762</v>
      </c>
      <c r="B140" s="1102" t="s">
        <v>111</v>
      </c>
      <c r="C140" s="1102" t="s">
        <v>203</v>
      </c>
      <c r="D140" s="1102" t="s">
        <v>63</v>
      </c>
      <c r="E140" s="1102" t="s">
        <v>64</v>
      </c>
      <c r="F140" s="1102" t="s">
        <v>65</v>
      </c>
      <c r="G140" s="1102" t="s">
        <v>402</v>
      </c>
      <c r="H140" s="1102" t="s">
        <v>67</v>
      </c>
      <c r="I140" s="1102" t="s">
        <v>68</v>
      </c>
      <c r="J140" s="1102" t="s">
        <v>232</v>
      </c>
      <c r="M140" s="1102" t="s">
        <v>68</v>
      </c>
      <c r="N140" s="1102" t="s">
        <v>68</v>
      </c>
      <c r="O140" s="1102" t="s">
        <v>473</v>
      </c>
      <c r="P140" s="1102" t="s">
        <v>763</v>
      </c>
      <c r="Q140" s="1102" t="s">
        <v>764</v>
      </c>
      <c r="R140" s="1102" t="s">
        <v>73</v>
      </c>
      <c r="S140" s="1102" t="s">
        <v>74</v>
      </c>
      <c r="T140" s="1102">
        <v>450</v>
      </c>
      <c r="U140" s="1102">
        <v>864</v>
      </c>
      <c r="V140" s="1102">
        <v>0.38900000000000001</v>
      </c>
      <c r="W140" s="1102">
        <v>24</v>
      </c>
      <c r="X140" s="1102">
        <v>1</v>
      </c>
      <c r="Y140" s="1102" t="s">
        <v>75</v>
      </c>
      <c r="Z140" s="1102" t="s">
        <v>75</v>
      </c>
      <c r="AB140" s="1103">
        <v>46058</v>
      </c>
      <c r="AC140" s="1102">
        <v>6</v>
      </c>
      <c r="AD140" s="1102" t="s">
        <v>765</v>
      </c>
      <c r="AF140" s="1102" t="s">
        <v>122</v>
      </c>
      <c r="AG140" s="1102" t="s">
        <v>123</v>
      </c>
      <c r="AH140" s="1102" t="s">
        <v>78</v>
      </c>
      <c r="AI140" s="1103">
        <v>46063</v>
      </c>
      <c r="AJ140" s="1103">
        <v>46067</v>
      </c>
      <c r="AK140" s="1103">
        <v>46067</v>
      </c>
      <c r="AL140" s="1103">
        <v>46092</v>
      </c>
      <c r="AM140" s="1103">
        <v>46115</v>
      </c>
      <c r="AN140" s="1103">
        <v>46119</v>
      </c>
      <c r="AO140" s="1102" t="s">
        <v>402</v>
      </c>
      <c r="AP140" s="1102" t="s">
        <v>748</v>
      </c>
      <c r="AQ140" s="1102" t="s">
        <v>80</v>
      </c>
      <c r="AR140" s="1102" t="s">
        <v>766</v>
      </c>
      <c r="AS140" s="1102" t="s">
        <v>767</v>
      </c>
      <c r="AT140" s="1102" t="s">
        <v>767</v>
      </c>
      <c r="AU140" s="1102">
        <v>52</v>
      </c>
      <c r="AW140" s="1103">
        <v>46119</v>
      </c>
      <c r="AX140" s="1102" t="s">
        <v>84</v>
      </c>
      <c r="AY140" s="1103">
        <v>46129</v>
      </c>
      <c r="AZ140" s="1102">
        <v>8</v>
      </c>
      <c r="BA140" s="1103">
        <v>46127</v>
      </c>
      <c r="BB140" s="1102">
        <v>2026</v>
      </c>
      <c r="BC140" s="1102">
        <v>4</v>
      </c>
      <c r="BD140" s="1102">
        <v>16</v>
      </c>
      <c r="BE140" s="1102">
        <v>36</v>
      </c>
      <c r="BF140" s="1102">
        <v>864</v>
      </c>
      <c r="BG140" s="1102" t="s">
        <v>85</v>
      </c>
      <c r="BH140" s="1102" t="s">
        <v>86</v>
      </c>
    </row>
    <row r="141" spans="1:60">
      <c r="A141" s="1102" t="s">
        <v>768</v>
      </c>
      <c r="B141" s="1102" t="s">
        <v>61</v>
      </c>
      <c r="C141" s="1102" t="s">
        <v>769</v>
      </c>
      <c r="D141" s="1102" t="s">
        <v>63</v>
      </c>
      <c r="E141" s="1102" t="s">
        <v>64</v>
      </c>
      <c r="F141" s="1102" t="s">
        <v>100</v>
      </c>
      <c r="G141" s="1102" t="s">
        <v>402</v>
      </c>
      <c r="H141" s="1102" t="s">
        <v>67</v>
      </c>
      <c r="I141" s="1102" t="s">
        <v>68</v>
      </c>
      <c r="J141" s="1102" t="s">
        <v>293</v>
      </c>
      <c r="M141" s="1102" t="s">
        <v>68</v>
      </c>
      <c r="N141" s="1102" t="s">
        <v>68</v>
      </c>
      <c r="O141" s="1102" t="s">
        <v>70</v>
      </c>
      <c r="P141" s="1102" t="s">
        <v>560</v>
      </c>
      <c r="Q141" s="1102" t="s">
        <v>196</v>
      </c>
      <c r="R141" s="1102" t="s">
        <v>73</v>
      </c>
      <c r="S141" s="1102" t="s">
        <v>120</v>
      </c>
      <c r="T141" s="1102">
        <v>450</v>
      </c>
      <c r="U141" s="1102">
        <v>2736</v>
      </c>
      <c r="V141" s="1102">
        <v>1.2310000000000001</v>
      </c>
      <c r="W141" s="1102">
        <v>76</v>
      </c>
      <c r="X141" s="1102">
        <v>2.9</v>
      </c>
      <c r="Y141" s="1102" t="s">
        <v>75</v>
      </c>
      <c r="Z141" s="1102" t="s">
        <v>75</v>
      </c>
      <c r="AB141" s="1103">
        <v>46055</v>
      </c>
      <c r="AC141" s="1102">
        <v>6</v>
      </c>
      <c r="AD141" s="1102" t="s">
        <v>770</v>
      </c>
      <c r="AF141" s="1102" t="s">
        <v>77</v>
      </c>
      <c r="AG141" s="1102" t="s">
        <v>61</v>
      </c>
      <c r="AH141" s="1102" t="s">
        <v>105</v>
      </c>
      <c r="AI141" s="1103">
        <v>46066</v>
      </c>
      <c r="AJ141" s="1103">
        <v>46065</v>
      </c>
      <c r="AK141" s="1103">
        <v>46065</v>
      </c>
      <c r="AL141" s="1103">
        <v>46119</v>
      </c>
      <c r="AM141" s="1103">
        <v>46141</v>
      </c>
      <c r="AN141" s="1103">
        <v>46137</v>
      </c>
      <c r="AO141" s="1102" t="s">
        <v>402</v>
      </c>
      <c r="AP141" s="1102" t="s">
        <v>771</v>
      </c>
      <c r="AQ141" s="1102" t="s">
        <v>80</v>
      </c>
      <c r="AR141" s="1102" t="s">
        <v>772</v>
      </c>
      <c r="AS141" s="1102" t="s">
        <v>773</v>
      </c>
      <c r="AT141" s="1102" t="s">
        <v>773</v>
      </c>
      <c r="AU141" s="1102">
        <v>72</v>
      </c>
      <c r="AW141" s="1103">
        <v>46137</v>
      </c>
      <c r="AX141" s="1102" t="s">
        <v>84</v>
      </c>
      <c r="AY141" s="1103">
        <v>46150</v>
      </c>
      <c r="AZ141" s="1102">
        <v>7</v>
      </c>
      <c r="BA141" s="1103">
        <v>46144</v>
      </c>
      <c r="BB141" s="1102">
        <v>2026</v>
      </c>
      <c r="BC141" s="1102">
        <v>5</v>
      </c>
      <c r="BD141" s="1102">
        <v>18</v>
      </c>
      <c r="BE141" s="1102">
        <v>36</v>
      </c>
      <c r="BF141" s="1102">
        <v>936</v>
      </c>
      <c r="BG141" s="1102" t="s">
        <v>94</v>
      </c>
      <c r="BH141" s="1102" t="s">
        <v>109</v>
      </c>
    </row>
    <row r="142" spans="1:60">
      <c r="A142" s="1102" t="s">
        <v>774</v>
      </c>
      <c r="B142" s="1102" t="s">
        <v>61</v>
      </c>
      <c r="C142" s="1102" t="s">
        <v>775</v>
      </c>
      <c r="D142" s="1102" t="s">
        <v>63</v>
      </c>
      <c r="E142" s="1102" t="s">
        <v>64</v>
      </c>
      <c r="F142" s="1102" t="s">
        <v>65</v>
      </c>
      <c r="G142" s="1102" t="s">
        <v>402</v>
      </c>
      <c r="H142" s="1102" t="s">
        <v>67</v>
      </c>
      <c r="I142" s="1102" t="s">
        <v>68</v>
      </c>
      <c r="J142" s="1102" t="s">
        <v>690</v>
      </c>
      <c r="L142" s="1102" t="s">
        <v>197</v>
      </c>
      <c r="M142" s="1102" t="s">
        <v>68</v>
      </c>
      <c r="N142" s="1102" t="s">
        <v>68</v>
      </c>
      <c r="O142" s="1102" t="s">
        <v>70</v>
      </c>
      <c r="P142" s="1102" t="s">
        <v>91</v>
      </c>
      <c r="Q142" s="1102" t="s">
        <v>92</v>
      </c>
      <c r="R142" s="1102" t="s">
        <v>73</v>
      </c>
      <c r="S142" s="1102" t="s">
        <v>74</v>
      </c>
      <c r="T142" s="1102">
        <v>450</v>
      </c>
      <c r="U142" s="1102">
        <v>1872</v>
      </c>
      <c r="V142" s="1102">
        <v>0.84199999999999997</v>
      </c>
      <c r="W142" s="1102">
        <v>52</v>
      </c>
      <c r="X142" s="1102">
        <v>2</v>
      </c>
      <c r="Y142" s="1102" t="s">
        <v>75</v>
      </c>
      <c r="Z142" s="1102" t="s">
        <v>75</v>
      </c>
      <c r="AA142" s="1102" t="s">
        <v>197</v>
      </c>
      <c r="AB142" s="1103">
        <v>46056</v>
      </c>
      <c r="AC142" s="1102">
        <v>6</v>
      </c>
      <c r="AD142" s="1102" t="s">
        <v>776</v>
      </c>
      <c r="AE142" s="1102" t="s">
        <v>197</v>
      </c>
      <c r="AF142" s="1102" t="s">
        <v>77</v>
      </c>
      <c r="AG142" s="1102" t="s">
        <v>61</v>
      </c>
      <c r="AH142" s="1102" t="s">
        <v>78</v>
      </c>
      <c r="AI142" s="1103">
        <v>46066</v>
      </c>
      <c r="AJ142" s="1103">
        <v>46065</v>
      </c>
      <c r="AK142" s="1103">
        <v>46065</v>
      </c>
      <c r="AL142" s="1103">
        <v>46139</v>
      </c>
      <c r="AM142" s="1103">
        <v>46146</v>
      </c>
      <c r="AN142" s="1103">
        <v>46144</v>
      </c>
      <c r="AO142" s="1102" t="s">
        <v>402</v>
      </c>
      <c r="AP142" s="1102" t="s">
        <v>771</v>
      </c>
      <c r="AQ142" s="1102" t="s">
        <v>80</v>
      </c>
      <c r="AR142" s="1102" t="s">
        <v>777</v>
      </c>
      <c r="AS142" s="1102" t="s">
        <v>778</v>
      </c>
      <c r="AT142" s="1102" t="s">
        <v>778</v>
      </c>
      <c r="AU142" s="1102">
        <v>79</v>
      </c>
      <c r="AV142" s="1102" t="s">
        <v>197</v>
      </c>
      <c r="AW142" s="1103">
        <v>46144</v>
      </c>
      <c r="AX142" s="1102" t="s">
        <v>84</v>
      </c>
      <c r="AY142" s="1103">
        <v>46160</v>
      </c>
      <c r="AZ142" s="1102">
        <v>8</v>
      </c>
      <c r="BA142" s="1103">
        <v>46152</v>
      </c>
      <c r="BB142" s="1102">
        <v>2026</v>
      </c>
      <c r="BC142" s="1102">
        <v>5</v>
      </c>
      <c r="BD142" s="1102">
        <v>19</v>
      </c>
      <c r="BE142" s="1102">
        <v>36</v>
      </c>
      <c r="BF142" s="1102">
        <v>936</v>
      </c>
      <c r="BG142" s="1102" t="s">
        <v>94</v>
      </c>
      <c r="BH142" s="1102" t="s">
        <v>86</v>
      </c>
    </row>
    <row r="143" spans="1:60">
      <c r="A143" s="1102" t="s">
        <v>775</v>
      </c>
      <c r="B143" s="1102" t="s">
        <v>61</v>
      </c>
      <c r="C143" s="1102" t="s">
        <v>203</v>
      </c>
      <c r="D143" s="1102" t="s">
        <v>63</v>
      </c>
      <c r="E143" s="1102" t="s">
        <v>64</v>
      </c>
      <c r="F143" s="1102" t="s">
        <v>65</v>
      </c>
      <c r="G143" s="1102" t="s">
        <v>402</v>
      </c>
      <c r="H143" s="1102" t="s">
        <v>67</v>
      </c>
      <c r="I143" s="1102" t="s">
        <v>68</v>
      </c>
      <c r="J143" s="1102" t="s">
        <v>690</v>
      </c>
      <c r="L143" s="1102" t="s">
        <v>197</v>
      </c>
      <c r="M143" s="1102" t="s">
        <v>68</v>
      </c>
      <c r="N143" s="1102" t="s">
        <v>68</v>
      </c>
      <c r="O143" s="1102" t="s">
        <v>70</v>
      </c>
      <c r="P143" s="1102" t="s">
        <v>91</v>
      </c>
      <c r="Q143" s="1102" t="s">
        <v>92</v>
      </c>
      <c r="R143" s="1102" t="s">
        <v>73</v>
      </c>
      <c r="S143" s="1102" t="s">
        <v>74</v>
      </c>
      <c r="T143" s="1102">
        <v>450</v>
      </c>
      <c r="U143" s="1102">
        <v>4428</v>
      </c>
      <c r="V143" s="1102">
        <v>1.9930000000000001</v>
      </c>
      <c r="W143" s="1102">
        <v>123</v>
      </c>
      <c r="X143" s="1102">
        <v>4.7</v>
      </c>
      <c r="Y143" s="1102" t="s">
        <v>75</v>
      </c>
      <c r="Z143" s="1102" t="s">
        <v>75</v>
      </c>
      <c r="AA143" s="1102" t="s">
        <v>197</v>
      </c>
      <c r="AB143" s="1103">
        <v>46056</v>
      </c>
      <c r="AC143" s="1102">
        <v>6</v>
      </c>
      <c r="AD143" s="1102" t="s">
        <v>776</v>
      </c>
      <c r="AE143" s="1102" t="s">
        <v>197</v>
      </c>
      <c r="AF143" s="1102" t="s">
        <v>77</v>
      </c>
      <c r="AG143" s="1102" t="s">
        <v>61</v>
      </c>
      <c r="AH143" s="1102" t="s">
        <v>78</v>
      </c>
      <c r="AI143" s="1103">
        <v>46066</v>
      </c>
      <c r="AJ143" s="1103">
        <v>46065</v>
      </c>
      <c r="AK143" s="1103">
        <v>46065</v>
      </c>
      <c r="AL143" s="1103">
        <v>46139</v>
      </c>
      <c r="AM143" s="1103">
        <v>46146</v>
      </c>
      <c r="AN143" s="1103">
        <v>46144</v>
      </c>
      <c r="AO143" s="1102" t="s">
        <v>402</v>
      </c>
      <c r="AP143" s="1102" t="s">
        <v>771</v>
      </c>
      <c r="AQ143" s="1102" t="s">
        <v>80</v>
      </c>
      <c r="AR143" s="1102" t="s">
        <v>777</v>
      </c>
      <c r="AS143" s="1102" t="s">
        <v>778</v>
      </c>
      <c r="AT143" s="1102" t="s">
        <v>778</v>
      </c>
      <c r="AU143" s="1102">
        <v>79</v>
      </c>
      <c r="AV143" s="1102" t="s">
        <v>197</v>
      </c>
      <c r="AW143" s="1103">
        <v>46144</v>
      </c>
      <c r="AX143" s="1102" t="s">
        <v>84</v>
      </c>
      <c r="AY143" s="1103">
        <v>46160</v>
      </c>
      <c r="AZ143" s="1102">
        <v>8</v>
      </c>
      <c r="BA143" s="1103">
        <v>46152</v>
      </c>
      <c r="BB143" s="1102">
        <v>2026</v>
      </c>
      <c r="BC143" s="1102">
        <v>5</v>
      </c>
      <c r="BD143" s="1102">
        <v>19</v>
      </c>
      <c r="BE143" s="1102">
        <v>36</v>
      </c>
      <c r="BF143" s="1102">
        <v>936</v>
      </c>
      <c r="BG143" s="1102" t="s">
        <v>94</v>
      </c>
      <c r="BH143" s="1102" t="s">
        <v>86</v>
      </c>
    </row>
    <row r="144" spans="1:60">
      <c r="A144" s="1102" t="s">
        <v>779</v>
      </c>
      <c r="B144" s="1102" t="s">
        <v>61</v>
      </c>
      <c r="C144" s="1102" t="s">
        <v>780</v>
      </c>
      <c r="D144" s="1102" t="s">
        <v>63</v>
      </c>
      <c r="E144" s="1102" t="s">
        <v>64</v>
      </c>
      <c r="F144" s="1102" t="s">
        <v>65</v>
      </c>
      <c r="G144" s="1102" t="s">
        <v>402</v>
      </c>
      <c r="H144" s="1102" t="s">
        <v>67</v>
      </c>
      <c r="I144" s="1102" t="s">
        <v>68</v>
      </c>
      <c r="J144" s="1102" t="s">
        <v>690</v>
      </c>
      <c r="M144" s="1102" t="s">
        <v>68</v>
      </c>
      <c r="N144" s="1102" t="s">
        <v>68</v>
      </c>
      <c r="O144" s="1102" t="s">
        <v>70</v>
      </c>
      <c r="P144" s="1102" t="s">
        <v>204</v>
      </c>
      <c r="Q144" s="1102" t="s">
        <v>205</v>
      </c>
      <c r="R144" s="1102" t="s">
        <v>73</v>
      </c>
      <c r="S144" s="1102" t="s">
        <v>74</v>
      </c>
      <c r="T144" s="1102">
        <v>455</v>
      </c>
      <c r="U144" s="1102">
        <v>5868</v>
      </c>
      <c r="V144" s="1102">
        <v>2.67</v>
      </c>
      <c r="W144" s="1102">
        <v>163</v>
      </c>
      <c r="X144" s="1102">
        <v>6.3</v>
      </c>
      <c r="Y144" s="1102" t="s">
        <v>75</v>
      </c>
      <c r="Z144" s="1102" t="s">
        <v>75</v>
      </c>
      <c r="AB144" s="1103">
        <v>46056</v>
      </c>
      <c r="AC144" s="1102">
        <v>6</v>
      </c>
      <c r="AD144" s="1102" t="s">
        <v>781</v>
      </c>
      <c r="AF144" s="1102" t="s">
        <v>77</v>
      </c>
      <c r="AG144" s="1102" t="s">
        <v>61</v>
      </c>
      <c r="AH144" s="1102" t="s">
        <v>78</v>
      </c>
      <c r="AI144" s="1103">
        <v>46066</v>
      </c>
      <c r="AJ144" s="1103">
        <v>46065</v>
      </c>
      <c r="AK144" s="1103">
        <v>46065</v>
      </c>
      <c r="AL144" s="1103">
        <v>46139</v>
      </c>
      <c r="AM144" s="1103">
        <v>46146</v>
      </c>
      <c r="AN144" s="1103">
        <v>46144</v>
      </c>
      <c r="AO144" s="1102" t="s">
        <v>402</v>
      </c>
      <c r="AP144" s="1102" t="s">
        <v>771</v>
      </c>
      <c r="AQ144" s="1102" t="s">
        <v>80</v>
      </c>
      <c r="AR144" s="1102" t="s">
        <v>777</v>
      </c>
      <c r="AS144" s="1102" t="s">
        <v>778</v>
      </c>
      <c r="AT144" s="1102" t="s">
        <v>778</v>
      </c>
      <c r="AU144" s="1102">
        <v>79</v>
      </c>
      <c r="AW144" s="1103">
        <v>46144</v>
      </c>
      <c r="AX144" s="1102" t="s">
        <v>84</v>
      </c>
      <c r="AY144" s="1103">
        <v>46160</v>
      </c>
      <c r="AZ144" s="1102">
        <v>8</v>
      </c>
      <c r="BA144" s="1103">
        <v>46152</v>
      </c>
      <c r="BB144" s="1102">
        <v>2026</v>
      </c>
      <c r="BC144" s="1102">
        <v>5</v>
      </c>
      <c r="BD144" s="1102">
        <v>19</v>
      </c>
      <c r="BE144" s="1102">
        <v>36</v>
      </c>
      <c r="BF144" s="1102">
        <v>936</v>
      </c>
      <c r="BG144" s="1102" t="s">
        <v>94</v>
      </c>
      <c r="BH144" s="1102" t="s">
        <v>86</v>
      </c>
    </row>
    <row r="145" spans="1:60">
      <c r="A145" s="1102" t="s">
        <v>782</v>
      </c>
      <c r="B145" s="1102" t="s">
        <v>61</v>
      </c>
      <c r="C145" s="1102" t="s">
        <v>688</v>
      </c>
      <c r="D145" s="1102" t="s">
        <v>63</v>
      </c>
      <c r="E145" s="1102" t="s">
        <v>64</v>
      </c>
      <c r="F145" s="1102" t="s">
        <v>65</v>
      </c>
      <c r="G145" s="1102" t="s">
        <v>402</v>
      </c>
      <c r="H145" s="1102" t="s">
        <v>67</v>
      </c>
      <c r="I145" s="1102" t="s">
        <v>68</v>
      </c>
      <c r="J145" s="1102" t="s">
        <v>690</v>
      </c>
      <c r="M145" s="1102" t="s">
        <v>68</v>
      </c>
      <c r="N145" s="1102" t="s">
        <v>68</v>
      </c>
      <c r="O145" s="1102" t="s">
        <v>70</v>
      </c>
      <c r="P145" s="1102" t="s">
        <v>691</v>
      </c>
      <c r="Q145" s="1102" t="s">
        <v>692</v>
      </c>
      <c r="R145" s="1102" t="s">
        <v>73</v>
      </c>
      <c r="S145" s="1102" t="s">
        <v>74</v>
      </c>
      <c r="T145" s="1102">
        <v>505</v>
      </c>
      <c r="U145" s="1102">
        <v>864</v>
      </c>
      <c r="V145" s="1102">
        <v>0.436</v>
      </c>
      <c r="W145" s="1102">
        <v>24</v>
      </c>
      <c r="X145" s="1102">
        <v>1</v>
      </c>
      <c r="Y145" s="1102" t="s">
        <v>75</v>
      </c>
      <c r="Z145" s="1102" t="s">
        <v>75</v>
      </c>
      <c r="AB145" s="1103">
        <v>46056</v>
      </c>
      <c r="AC145" s="1102">
        <v>6</v>
      </c>
      <c r="AD145" s="1102" t="s">
        <v>783</v>
      </c>
      <c r="AF145" s="1102" t="s">
        <v>77</v>
      </c>
      <c r="AG145" s="1102" t="s">
        <v>61</v>
      </c>
      <c r="AH145" s="1102" t="s">
        <v>78</v>
      </c>
      <c r="AI145" s="1103">
        <v>46066</v>
      </c>
      <c r="AJ145" s="1103">
        <v>46065</v>
      </c>
      <c r="AK145" s="1103">
        <v>46065</v>
      </c>
      <c r="AL145" s="1103">
        <v>46139</v>
      </c>
      <c r="AM145" s="1103">
        <v>46146</v>
      </c>
      <c r="AN145" s="1103">
        <v>46144</v>
      </c>
      <c r="AO145" s="1102" t="s">
        <v>402</v>
      </c>
      <c r="AP145" s="1102" t="s">
        <v>771</v>
      </c>
      <c r="AQ145" s="1102" t="s">
        <v>80</v>
      </c>
      <c r="AR145" s="1102" t="s">
        <v>777</v>
      </c>
      <c r="AS145" s="1102" t="s">
        <v>778</v>
      </c>
      <c r="AT145" s="1102" t="s">
        <v>778</v>
      </c>
      <c r="AU145" s="1102">
        <v>79</v>
      </c>
      <c r="AW145" s="1103">
        <v>46144</v>
      </c>
      <c r="AX145" s="1102" t="s">
        <v>84</v>
      </c>
      <c r="AY145" s="1103">
        <v>46160</v>
      </c>
      <c r="AZ145" s="1102">
        <v>8</v>
      </c>
      <c r="BA145" s="1103">
        <v>46152</v>
      </c>
      <c r="BB145" s="1102">
        <v>2026</v>
      </c>
      <c r="BC145" s="1102">
        <v>5</v>
      </c>
      <c r="BD145" s="1102">
        <v>19</v>
      </c>
      <c r="BE145" s="1102">
        <v>36</v>
      </c>
      <c r="BF145" s="1102">
        <v>864</v>
      </c>
      <c r="BG145" s="1102" t="s">
        <v>85</v>
      </c>
      <c r="BH145" s="1102" t="s">
        <v>86</v>
      </c>
    </row>
    <row r="146" spans="1:60">
      <c r="A146" s="1102" t="s">
        <v>784</v>
      </c>
      <c r="B146" s="1102" t="s">
        <v>77</v>
      </c>
      <c r="C146" s="1102" t="s">
        <v>688</v>
      </c>
      <c r="D146" s="1102" t="s">
        <v>63</v>
      </c>
      <c r="E146" s="1102" t="s">
        <v>64</v>
      </c>
      <c r="F146" s="1102" t="s">
        <v>65</v>
      </c>
      <c r="G146" s="1102" t="s">
        <v>402</v>
      </c>
      <c r="H146" s="1102" t="s">
        <v>67</v>
      </c>
      <c r="I146" s="1102" t="s">
        <v>68</v>
      </c>
      <c r="J146" s="1102" t="s">
        <v>690</v>
      </c>
      <c r="M146" s="1102" t="s">
        <v>68</v>
      </c>
      <c r="N146" s="1102">
        <v>46045</v>
      </c>
      <c r="O146" s="1102" t="s">
        <v>70</v>
      </c>
      <c r="P146" s="1102" t="s">
        <v>691</v>
      </c>
      <c r="Q146" s="1102" t="s">
        <v>692</v>
      </c>
      <c r="R146" s="1102" t="s">
        <v>73</v>
      </c>
      <c r="S146" s="1102" t="s">
        <v>74</v>
      </c>
      <c r="T146" s="1102">
        <v>505</v>
      </c>
      <c r="U146" s="1102">
        <v>864</v>
      </c>
      <c r="V146" s="1102">
        <v>0.436</v>
      </c>
      <c r="W146" s="1102">
        <v>24</v>
      </c>
      <c r="X146" s="1102">
        <v>1</v>
      </c>
      <c r="Y146" s="1102" t="s">
        <v>75</v>
      </c>
      <c r="Z146" s="1102" t="s">
        <v>75</v>
      </c>
      <c r="AB146" s="1103">
        <v>46056</v>
      </c>
      <c r="AC146" s="1102">
        <v>6</v>
      </c>
      <c r="AD146" s="1102" t="s">
        <v>785</v>
      </c>
      <c r="AF146" s="1102" t="s">
        <v>77</v>
      </c>
      <c r="AG146" s="1102" t="s">
        <v>61</v>
      </c>
      <c r="AH146" s="1102" t="s">
        <v>78</v>
      </c>
      <c r="AI146" s="1103">
        <v>46066</v>
      </c>
      <c r="AJ146" s="1103">
        <v>46065</v>
      </c>
      <c r="AK146" s="1103">
        <v>46065</v>
      </c>
      <c r="AL146" s="1103">
        <v>46139</v>
      </c>
      <c r="AM146" s="1103">
        <v>46146</v>
      </c>
      <c r="AN146" s="1103">
        <v>46144</v>
      </c>
      <c r="AO146" s="1102" t="s">
        <v>402</v>
      </c>
      <c r="AP146" s="1102" t="s">
        <v>771</v>
      </c>
      <c r="AQ146" s="1102" t="s">
        <v>80</v>
      </c>
      <c r="AR146" s="1102" t="s">
        <v>777</v>
      </c>
      <c r="AS146" s="1102" t="s">
        <v>778</v>
      </c>
      <c r="AT146" s="1102" t="s">
        <v>778</v>
      </c>
      <c r="AU146" s="1102">
        <v>79</v>
      </c>
      <c r="AW146" s="1103">
        <v>46144</v>
      </c>
      <c r="AX146" s="1102" t="s">
        <v>84</v>
      </c>
      <c r="AY146" s="1103">
        <v>46160</v>
      </c>
      <c r="AZ146" s="1102">
        <v>8</v>
      </c>
      <c r="BA146" s="1103">
        <v>46152</v>
      </c>
      <c r="BB146" s="1102">
        <v>2026</v>
      </c>
      <c r="BC146" s="1102">
        <v>5</v>
      </c>
      <c r="BD146" s="1102">
        <v>19</v>
      </c>
      <c r="BE146" s="1102">
        <v>36</v>
      </c>
      <c r="BF146" s="1102">
        <v>864</v>
      </c>
      <c r="BG146" s="1102" t="s">
        <v>85</v>
      </c>
      <c r="BH146" s="1102" t="s">
        <v>86</v>
      </c>
    </row>
    <row r="147" spans="1:60">
      <c r="A147" s="1102" t="s">
        <v>786</v>
      </c>
      <c r="B147" s="1102" t="s">
        <v>77</v>
      </c>
      <c r="C147" s="1102" t="s">
        <v>688</v>
      </c>
      <c r="D147" s="1102" t="s">
        <v>63</v>
      </c>
      <c r="E147" s="1102" t="s">
        <v>64</v>
      </c>
      <c r="F147" s="1102" t="s">
        <v>65</v>
      </c>
      <c r="G147" s="1102" t="s">
        <v>402</v>
      </c>
      <c r="H147" s="1102" t="s">
        <v>67</v>
      </c>
      <c r="I147" s="1102" t="s">
        <v>68</v>
      </c>
      <c r="J147" s="1102" t="s">
        <v>690</v>
      </c>
      <c r="M147" s="1102" t="s">
        <v>68</v>
      </c>
      <c r="N147" s="1102">
        <v>46045</v>
      </c>
      <c r="O147" s="1102" t="s">
        <v>70</v>
      </c>
      <c r="P147" s="1102" t="s">
        <v>691</v>
      </c>
      <c r="Q147" s="1102" t="s">
        <v>692</v>
      </c>
      <c r="R147" s="1102" t="s">
        <v>73</v>
      </c>
      <c r="S147" s="1102" t="s">
        <v>74</v>
      </c>
      <c r="T147" s="1102">
        <v>505</v>
      </c>
      <c r="U147" s="1102">
        <v>2592</v>
      </c>
      <c r="V147" s="1102">
        <v>1.3089999999999999</v>
      </c>
      <c r="W147" s="1102">
        <v>72</v>
      </c>
      <c r="X147" s="1102">
        <v>3</v>
      </c>
      <c r="Y147" s="1102" t="s">
        <v>75</v>
      </c>
      <c r="Z147" s="1102" t="s">
        <v>75</v>
      </c>
      <c r="AB147" s="1103">
        <v>46058</v>
      </c>
      <c r="AC147" s="1102">
        <v>6</v>
      </c>
      <c r="AD147" s="1102" t="s">
        <v>787</v>
      </c>
      <c r="AF147" s="1102" t="s">
        <v>77</v>
      </c>
      <c r="AG147" s="1102" t="s">
        <v>61</v>
      </c>
      <c r="AH147" s="1102" t="s">
        <v>78</v>
      </c>
      <c r="AI147" s="1103">
        <v>46066</v>
      </c>
      <c r="AJ147" s="1103">
        <v>46065</v>
      </c>
      <c r="AK147" s="1103">
        <v>46065</v>
      </c>
      <c r="AL147" s="1103">
        <v>46139</v>
      </c>
      <c r="AM147" s="1103">
        <v>46146</v>
      </c>
      <c r="AN147" s="1103">
        <v>46144</v>
      </c>
      <c r="AO147" s="1102" t="s">
        <v>402</v>
      </c>
      <c r="AP147" s="1102" t="s">
        <v>771</v>
      </c>
      <c r="AQ147" s="1102" t="s">
        <v>80</v>
      </c>
      <c r="AR147" s="1102" t="s">
        <v>788</v>
      </c>
      <c r="AS147" s="1102" t="s">
        <v>789</v>
      </c>
      <c r="AT147" s="1102" t="s">
        <v>789</v>
      </c>
      <c r="AU147" s="1102">
        <v>79</v>
      </c>
      <c r="AW147" s="1103">
        <v>46144</v>
      </c>
      <c r="AX147" s="1102" t="s">
        <v>84</v>
      </c>
      <c r="AY147" s="1103">
        <v>46160</v>
      </c>
      <c r="AZ147" s="1102">
        <v>8</v>
      </c>
      <c r="BA147" s="1103">
        <v>46152</v>
      </c>
      <c r="BB147" s="1102">
        <v>2026</v>
      </c>
      <c r="BC147" s="1102">
        <v>5</v>
      </c>
      <c r="BD147" s="1102">
        <v>19</v>
      </c>
      <c r="BE147" s="1102">
        <v>36</v>
      </c>
      <c r="BF147" s="1102">
        <v>864</v>
      </c>
      <c r="BG147" s="1102" t="s">
        <v>85</v>
      </c>
      <c r="BH147" s="1102" t="s">
        <v>86</v>
      </c>
    </row>
    <row r="148" spans="1:60">
      <c r="A148" s="1102" t="s">
        <v>790</v>
      </c>
      <c r="B148" s="1102" t="s">
        <v>61</v>
      </c>
      <c r="C148" s="1102" t="s">
        <v>203</v>
      </c>
      <c r="D148" s="1102" t="s">
        <v>63</v>
      </c>
      <c r="E148" s="1102" t="s">
        <v>64</v>
      </c>
      <c r="F148" s="1102" t="s">
        <v>100</v>
      </c>
      <c r="G148" s="1102" t="s">
        <v>402</v>
      </c>
      <c r="H148" s="1102" t="s">
        <v>67</v>
      </c>
      <c r="I148" s="1102" t="s">
        <v>68</v>
      </c>
      <c r="J148" s="1102" t="s">
        <v>483</v>
      </c>
      <c r="M148" s="1102" t="s">
        <v>68</v>
      </c>
      <c r="N148" s="1102">
        <v>46045</v>
      </c>
      <c r="O148" s="1102" t="s">
        <v>70</v>
      </c>
      <c r="P148" s="1102" t="s">
        <v>791</v>
      </c>
      <c r="Q148" s="1102" t="s">
        <v>571</v>
      </c>
      <c r="R148" s="1102" t="s">
        <v>73</v>
      </c>
      <c r="S148" s="1102" t="s">
        <v>120</v>
      </c>
      <c r="T148" s="1102">
        <v>445</v>
      </c>
      <c r="U148" s="1102">
        <v>4680</v>
      </c>
      <c r="V148" s="1102">
        <v>2.0830000000000002</v>
      </c>
      <c r="W148" s="1102">
        <v>130</v>
      </c>
      <c r="X148" s="1102">
        <v>5</v>
      </c>
      <c r="Y148" s="1102" t="s">
        <v>75</v>
      </c>
      <c r="Z148" s="1102" t="s">
        <v>75</v>
      </c>
      <c r="AB148" s="1103">
        <v>46057</v>
      </c>
      <c r="AC148" s="1102">
        <v>6</v>
      </c>
      <c r="AD148" s="1102" t="s">
        <v>792</v>
      </c>
      <c r="AF148" s="1102" t="s">
        <v>77</v>
      </c>
      <c r="AG148" s="1102" t="s">
        <v>61</v>
      </c>
      <c r="AH148" s="1102" t="s">
        <v>105</v>
      </c>
      <c r="AI148" s="1103">
        <v>46066</v>
      </c>
      <c r="AJ148" s="1103">
        <v>46065</v>
      </c>
      <c r="AK148" s="1103">
        <v>46065</v>
      </c>
      <c r="AL148" s="1103">
        <v>46119</v>
      </c>
      <c r="AM148" s="1103">
        <v>46141</v>
      </c>
      <c r="AN148" s="1103">
        <v>46137</v>
      </c>
      <c r="AO148" s="1102" t="s">
        <v>402</v>
      </c>
      <c r="AP148" s="1102" t="s">
        <v>771</v>
      </c>
      <c r="AQ148" s="1102" t="s">
        <v>80</v>
      </c>
      <c r="AR148" s="1102" t="s">
        <v>793</v>
      </c>
      <c r="AS148" s="1102" t="s">
        <v>794</v>
      </c>
      <c r="AT148" s="1102" t="s">
        <v>794</v>
      </c>
      <c r="AU148" s="1102">
        <v>72</v>
      </c>
      <c r="AW148" s="1103">
        <v>46137</v>
      </c>
      <c r="AX148" s="1102" t="s">
        <v>84</v>
      </c>
      <c r="AY148" s="1103">
        <v>46150</v>
      </c>
      <c r="AZ148" s="1102">
        <v>7</v>
      </c>
      <c r="BA148" s="1103">
        <v>46144</v>
      </c>
      <c r="BB148" s="1102">
        <v>2026</v>
      </c>
      <c r="BC148" s="1102">
        <v>5</v>
      </c>
      <c r="BD148" s="1102">
        <v>18</v>
      </c>
      <c r="BE148" s="1102">
        <v>36</v>
      </c>
      <c r="BF148" s="1102">
        <v>936</v>
      </c>
      <c r="BG148" s="1102" t="s">
        <v>85</v>
      </c>
      <c r="BH148" s="1102" t="s">
        <v>109</v>
      </c>
    </row>
    <row r="149" spans="1:60">
      <c r="A149" s="1102" t="s">
        <v>795</v>
      </c>
      <c r="B149" s="1102" t="s">
        <v>61</v>
      </c>
      <c r="C149" s="1102" t="s">
        <v>796</v>
      </c>
      <c r="D149" s="1102" t="s">
        <v>63</v>
      </c>
      <c r="E149" s="1102" t="s">
        <v>64</v>
      </c>
      <c r="F149" s="1102" t="s">
        <v>100</v>
      </c>
      <c r="G149" s="1102" t="s">
        <v>402</v>
      </c>
      <c r="H149" s="1102" t="s">
        <v>67</v>
      </c>
      <c r="I149" s="1102" t="s">
        <v>68</v>
      </c>
      <c r="J149" s="1102" t="s">
        <v>483</v>
      </c>
      <c r="M149" s="1102" t="s">
        <v>68</v>
      </c>
      <c r="N149" s="1102">
        <v>46045</v>
      </c>
      <c r="O149" s="1102" t="s">
        <v>70</v>
      </c>
      <c r="P149" s="1102" t="s">
        <v>570</v>
      </c>
      <c r="Q149" s="1102" t="s">
        <v>571</v>
      </c>
      <c r="R149" s="1102" t="s">
        <v>73</v>
      </c>
      <c r="S149" s="1102" t="s">
        <v>120</v>
      </c>
      <c r="T149" s="1102">
        <v>445</v>
      </c>
      <c r="U149" s="1102">
        <v>3744</v>
      </c>
      <c r="V149" s="1102">
        <v>1.6659999999999999</v>
      </c>
      <c r="W149" s="1102">
        <v>104</v>
      </c>
      <c r="X149" s="1102">
        <v>4</v>
      </c>
      <c r="Y149" s="1102" t="s">
        <v>75</v>
      </c>
      <c r="Z149" s="1102" t="s">
        <v>75</v>
      </c>
      <c r="AB149" s="1103">
        <v>46057</v>
      </c>
      <c r="AC149" s="1102">
        <v>6</v>
      </c>
      <c r="AD149" s="1102" t="s">
        <v>797</v>
      </c>
      <c r="AF149" s="1102" t="s">
        <v>77</v>
      </c>
      <c r="AG149" s="1102" t="s">
        <v>61</v>
      </c>
      <c r="AH149" s="1102" t="s">
        <v>105</v>
      </c>
      <c r="AI149" s="1103">
        <v>46066</v>
      </c>
      <c r="AJ149" s="1103">
        <v>46065</v>
      </c>
      <c r="AK149" s="1103">
        <v>46065</v>
      </c>
      <c r="AL149" s="1103">
        <v>46119</v>
      </c>
      <c r="AM149" s="1103">
        <v>46141</v>
      </c>
      <c r="AN149" s="1103">
        <v>46137</v>
      </c>
      <c r="AO149" s="1102" t="s">
        <v>402</v>
      </c>
      <c r="AP149" s="1102" t="s">
        <v>771</v>
      </c>
      <c r="AQ149" s="1102" t="s">
        <v>80</v>
      </c>
      <c r="AR149" s="1102" t="s">
        <v>793</v>
      </c>
      <c r="AS149" s="1102" t="s">
        <v>794</v>
      </c>
      <c r="AT149" s="1102" t="s">
        <v>794</v>
      </c>
      <c r="AU149" s="1102">
        <v>72</v>
      </c>
      <c r="AW149" s="1103">
        <v>46137</v>
      </c>
      <c r="AX149" s="1102" t="s">
        <v>84</v>
      </c>
      <c r="AY149" s="1103">
        <v>46150</v>
      </c>
      <c r="AZ149" s="1102">
        <v>7</v>
      </c>
      <c r="BA149" s="1103">
        <v>46144</v>
      </c>
      <c r="BB149" s="1102">
        <v>2026</v>
      </c>
      <c r="BC149" s="1102">
        <v>5</v>
      </c>
      <c r="BD149" s="1102">
        <v>18</v>
      </c>
      <c r="BE149" s="1102">
        <v>36</v>
      </c>
      <c r="BF149" s="1102">
        <v>936</v>
      </c>
      <c r="BG149" s="1102" t="s">
        <v>94</v>
      </c>
      <c r="BH149" s="1102" t="s">
        <v>109</v>
      </c>
    </row>
    <row r="150" spans="1:60">
      <c r="A150" s="1102" t="s">
        <v>193</v>
      </c>
      <c r="B150" s="1102" t="s">
        <v>61</v>
      </c>
      <c r="C150" s="1102" t="s">
        <v>203</v>
      </c>
      <c r="D150" s="1102" t="s">
        <v>63</v>
      </c>
      <c r="E150" s="1102" t="s">
        <v>64</v>
      </c>
      <c r="F150" s="1102" t="s">
        <v>100</v>
      </c>
      <c r="G150" s="1102" t="s">
        <v>402</v>
      </c>
      <c r="H150" s="1102" t="s">
        <v>67</v>
      </c>
      <c r="I150" s="1102" t="s">
        <v>68</v>
      </c>
      <c r="J150" s="1102" t="s">
        <v>483</v>
      </c>
      <c r="M150" s="1102" t="s">
        <v>68</v>
      </c>
      <c r="N150" s="1102">
        <v>46045</v>
      </c>
      <c r="O150" s="1102" t="s">
        <v>70</v>
      </c>
      <c r="P150" s="1102" t="s">
        <v>195</v>
      </c>
      <c r="Q150" s="1102" t="s">
        <v>196</v>
      </c>
      <c r="R150" s="1102" t="s">
        <v>73</v>
      </c>
      <c r="S150" s="1102" t="s">
        <v>74</v>
      </c>
      <c r="T150" s="1102">
        <v>450</v>
      </c>
      <c r="U150" s="1102">
        <v>4680</v>
      </c>
      <c r="V150" s="1102">
        <v>2.1059999999999999</v>
      </c>
      <c r="W150" s="1102">
        <v>130</v>
      </c>
      <c r="X150" s="1102">
        <v>5</v>
      </c>
      <c r="Y150" s="1102" t="s">
        <v>75</v>
      </c>
      <c r="Z150" s="1102" t="s">
        <v>75</v>
      </c>
      <c r="AB150" s="1103">
        <v>46057</v>
      </c>
      <c r="AC150" s="1102">
        <v>6</v>
      </c>
      <c r="AD150" s="1102" t="s">
        <v>798</v>
      </c>
      <c r="AF150" s="1102" t="s">
        <v>77</v>
      </c>
      <c r="AG150" s="1102" t="s">
        <v>61</v>
      </c>
      <c r="AH150" s="1102" t="s">
        <v>105</v>
      </c>
      <c r="AI150" s="1103">
        <v>46066</v>
      </c>
      <c r="AJ150" s="1103">
        <v>46065</v>
      </c>
      <c r="AK150" s="1103">
        <v>46065</v>
      </c>
      <c r="AL150" s="1103">
        <v>46119</v>
      </c>
      <c r="AM150" s="1103">
        <v>46141</v>
      </c>
      <c r="AN150" s="1103">
        <v>46137</v>
      </c>
      <c r="AO150" s="1102" t="s">
        <v>402</v>
      </c>
      <c r="AP150" s="1102" t="s">
        <v>771</v>
      </c>
      <c r="AQ150" s="1102" t="s">
        <v>80</v>
      </c>
      <c r="AR150" s="1102" t="s">
        <v>793</v>
      </c>
      <c r="AS150" s="1102" t="s">
        <v>794</v>
      </c>
      <c r="AT150" s="1102" t="s">
        <v>794</v>
      </c>
      <c r="AU150" s="1102">
        <v>72</v>
      </c>
      <c r="AW150" s="1103">
        <v>46137</v>
      </c>
      <c r="AX150" s="1102" t="s">
        <v>84</v>
      </c>
      <c r="AY150" s="1103">
        <v>46150</v>
      </c>
      <c r="AZ150" s="1102">
        <v>7</v>
      </c>
      <c r="BA150" s="1103">
        <v>46144</v>
      </c>
      <c r="BB150" s="1102">
        <v>2026</v>
      </c>
      <c r="BC150" s="1102">
        <v>5</v>
      </c>
      <c r="BD150" s="1102">
        <v>18</v>
      </c>
      <c r="BE150" s="1102">
        <v>36</v>
      </c>
      <c r="BF150" s="1102">
        <v>936</v>
      </c>
      <c r="BG150" s="1102" t="s">
        <v>85</v>
      </c>
      <c r="BH150" s="1102" t="s">
        <v>109</v>
      </c>
    </row>
    <row r="151" spans="1:60">
      <c r="A151" s="1102" t="s">
        <v>799</v>
      </c>
      <c r="B151" s="1102" t="s">
        <v>800</v>
      </c>
      <c r="C151" s="1102" t="s">
        <v>801</v>
      </c>
      <c r="D151" s="1102" t="s">
        <v>63</v>
      </c>
      <c r="E151" s="1102" t="s">
        <v>64</v>
      </c>
      <c r="F151" s="1102" t="s">
        <v>100</v>
      </c>
      <c r="G151" s="1102" t="s">
        <v>402</v>
      </c>
      <c r="H151" s="1102" t="s">
        <v>67</v>
      </c>
      <c r="I151" s="1102" t="s">
        <v>68</v>
      </c>
      <c r="J151" s="1102" t="s">
        <v>419</v>
      </c>
      <c r="M151" s="1102" t="s">
        <v>68</v>
      </c>
      <c r="N151" s="1102">
        <v>46045</v>
      </c>
      <c r="O151" s="1102" t="s">
        <v>70</v>
      </c>
      <c r="P151" s="1102" t="s">
        <v>420</v>
      </c>
      <c r="Q151" s="1102" t="s">
        <v>421</v>
      </c>
      <c r="R151" s="1102" t="s">
        <v>73</v>
      </c>
      <c r="S151" s="1102" t="s">
        <v>120</v>
      </c>
      <c r="T151" s="1102">
        <v>505</v>
      </c>
      <c r="U151" s="1102">
        <v>864</v>
      </c>
      <c r="V151" s="1102">
        <v>0.436</v>
      </c>
      <c r="W151" s="1102">
        <v>24</v>
      </c>
      <c r="X151" s="1102">
        <v>1</v>
      </c>
      <c r="Y151" s="1102" t="s">
        <v>75</v>
      </c>
      <c r="Z151" s="1102" t="s">
        <v>75</v>
      </c>
      <c r="AB151" s="1103">
        <v>46058</v>
      </c>
      <c r="AC151" s="1102">
        <v>6</v>
      </c>
      <c r="AD151" s="1102" t="s">
        <v>802</v>
      </c>
      <c r="AF151" s="1102" t="s">
        <v>77</v>
      </c>
      <c r="AG151" s="1102" t="s">
        <v>61</v>
      </c>
      <c r="AH151" s="1102" t="s">
        <v>105</v>
      </c>
      <c r="AI151" s="1103">
        <v>46066</v>
      </c>
      <c r="AJ151" s="1103">
        <v>46065</v>
      </c>
      <c r="AK151" s="1103">
        <v>46065</v>
      </c>
      <c r="AL151" s="1103">
        <v>46119</v>
      </c>
      <c r="AM151" s="1103">
        <v>46141</v>
      </c>
      <c r="AN151" s="1103">
        <v>46137</v>
      </c>
      <c r="AO151" s="1102" t="s">
        <v>402</v>
      </c>
      <c r="AP151" s="1102" t="s">
        <v>771</v>
      </c>
      <c r="AQ151" s="1102" t="s">
        <v>80</v>
      </c>
      <c r="AR151" s="1102" t="s">
        <v>803</v>
      </c>
      <c r="AS151" s="1102" t="s">
        <v>804</v>
      </c>
      <c r="AT151" s="1102" t="s">
        <v>804</v>
      </c>
      <c r="AU151" s="1102">
        <v>72</v>
      </c>
      <c r="AW151" s="1103">
        <v>46137</v>
      </c>
      <c r="AX151" s="1102" t="s">
        <v>84</v>
      </c>
      <c r="AY151" s="1103">
        <v>46150</v>
      </c>
      <c r="AZ151" s="1102">
        <v>7</v>
      </c>
      <c r="BA151" s="1103">
        <v>46144</v>
      </c>
      <c r="BB151" s="1102">
        <v>2026</v>
      </c>
      <c r="BC151" s="1102">
        <v>5</v>
      </c>
      <c r="BD151" s="1102">
        <v>18</v>
      </c>
      <c r="BE151" s="1102">
        <v>36</v>
      </c>
      <c r="BF151" s="1102">
        <v>864</v>
      </c>
      <c r="BG151" s="1102" t="s">
        <v>85</v>
      </c>
      <c r="BH151" s="1102" t="s">
        <v>109</v>
      </c>
    </row>
    <row r="152" spans="1:60">
      <c r="A152" s="1102" t="s">
        <v>805</v>
      </c>
      <c r="B152" s="1102" t="s">
        <v>61</v>
      </c>
      <c r="C152" s="1102" t="s">
        <v>418</v>
      </c>
      <c r="D152" s="1102" t="s">
        <v>63</v>
      </c>
      <c r="E152" s="1102" t="s">
        <v>64</v>
      </c>
      <c r="F152" s="1102" t="s">
        <v>100</v>
      </c>
      <c r="G152" s="1102" t="s">
        <v>402</v>
      </c>
      <c r="H152" s="1102" t="s">
        <v>67</v>
      </c>
      <c r="I152" s="1102" t="s">
        <v>68</v>
      </c>
      <c r="J152" s="1102" t="s">
        <v>419</v>
      </c>
      <c r="M152" s="1102" t="s">
        <v>68</v>
      </c>
      <c r="N152" s="1102">
        <v>46045</v>
      </c>
      <c r="O152" s="1102" t="s">
        <v>70</v>
      </c>
      <c r="P152" s="1102" t="s">
        <v>420</v>
      </c>
      <c r="Q152" s="1102" t="s">
        <v>421</v>
      </c>
      <c r="R152" s="1102" t="s">
        <v>73</v>
      </c>
      <c r="S152" s="1102" t="s">
        <v>120</v>
      </c>
      <c r="T152" s="1102">
        <v>505</v>
      </c>
      <c r="U152" s="1102">
        <v>3456</v>
      </c>
      <c r="V152" s="1102">
        <v>1.7450000000000001</v>
      </c>
      <c r="W152" s="1102">
        <v>96</v>
      </c>
      <c r="X152" s="1102">
        <v>4</v>
      </c>
      <c r="Y152" s="1102" t="s">
        <v>75</v>
      </c>
      <c r="Z152" s="1102" t="s">
        <v>75</v>
      </c>
      <c r="AB152" s="1103">
        <v>46058</v>
      </c>
      <c r="AC152" s="1102">
        <v>6</v>
      </c>
      <c r="AD152" s="1102" t="s">
        <v>806</v>
      </c>
      <c r="AF152" s="1102" t="s">
        <v>77</v>
      </c>
      <c r="AG152" s="1102" t="s">
        <v>61</v>
      </c>
      <c r="AH152" s="1102" t="s">
        <v>105</v>
      </c>
      <c r="AI152" s="1103">
        <v>46066</v>
      </c>
      <c r="AJ152" s="1103">
        <v>46065</v>
      </c>
      <c r="AK152" s="1103">
        <v>46065</v>
      </c>
      <c r="AL152" s="1103">
        <v>46119</v>
      </c>
      <c r="AM152" s="1103">
        <v>46141</v>
      </c>
      <c r="AN152" s="1103">
        <v>46137</v>
      </c>
      <c r="AO152" s="1102" t="s">
        <v>402</v>
      </c>
      <c r="AP152" s="1102" t="s">
        <v>771</v>
      </c>
      <c r="AQ152" s="1102" t="s">
        <v>80</v>
      </c>
      <c r="AR152" s="1102" t="s">
        <v>803</v>
      </c>
      <c r="AS152" s="1102" t="s">
        <v>804</v>
      </c>
      <c r="AT152" s="1102" t="s">
        <v>804</v>
      </c>
      <c r="AU152" s="1102">
        <v>72</v>
      </c>
      <c r="AW152" s="1103">
        <v>46137</v>
      </c>
      <c r="AX152" s="1102" t="s">
        <v>84</v>
      </c>
      <c r="AY152" s="1103">
        <v>46150</v>
      </c>
      <c r="AZ152" s="1102">
        <v>7</v>
      </c>
      <c r="BA152" s="1103">
        <v>46144</v>
      </c>
      <c r="BB152" s="1102">
        <v>2026</v>
      </c>
      <c r="BC152" s="1102">
        <v>5</v>
      </c>
      <c r="BD152" s="1102">
        <v>18</v>
      </c>
      <c r="BE152" s="1102">
        <v>36</v>
      </c>
      <c r="BF152" s="1102">
        <v>864</v>
      </c>
      <c r="BG152" s="1102" t="s">
        <v>85</v>
      </c>
      <c r="BH152" s="1102" t="s">
        <v>109</v>
      </c>
    </row>
    <row r="153" spans="1:60">
      <c r="A153" s="1102" t="s">
        <v>801</v>
      </c>
      <c r="B153" s="1102" t="s">
        <v>800</v>
      </c>
      <c r="C153" s="1102" t="s">
        <v>203</v>
      </c>
      <c r="D153" s="1102" t="s">
        <v>63</v>
      </c>
      <c r="E153" s="1102" t="s">
        <v>64</v>
      </c>
      <c r="F153" s="1102" t="s">
        <v>100</v>
      </c>
      <c r="G153" s="1102" t="s">
        <v>402</v>
      </c>
      <c r="H153" s="1102" t="s">
        <v>67</v>
      </c>
      <c r="I153" s="1102" t="s">
        <v>68</v>
      </c>
      <c r="J153" s="1102" t="s">
        <v>807</v>
      </c>
      <c r="M153" s="1102" t="s">
        <v>68</v>
      </c>
      <c r="N153" s="1102">
        <v>46045</v>
      </c>
      <c r="O153" s="1102" t="s">
        <v>70</v>
      </c>
      <c r="P153" s="1102" t="s">
        <v>420</v>
      </c>
      <c r="Q153" s="1102" t="s">
        <v>421</v>
      </c>
      <c r="R153" s="1102" t="s">
        <v>73</v>
      </c>
      <c r="S153" s="1102" t="s">
        <v>120</v>
      </c>
      <c r="T153" s="1102">
        <v>505</v>
      </c>
      <c r="U153" s="1102">
        <v>4320</v>
      </c>
      <c r="V153" s="1102">
        <v>2.1819999999999999</v>
      </c>
      <c r="W153" s="1102">
        <v>120</v>
      </c>
      <c r="X153" s="1102">
        <v>5</v>
      </c>
      <c r="Y153" s="1102" t="s">
        <v>75</v>
      </c>
      <c r="Z153" s="1102" t="s">
        <v>75</v>
      </c>
      <c r="AB153" s="1103">
        <v>46060</v>
      </c>
      <c r="AC153" s="1102">
        <v>6</v>
      </c>
      <c r="AD153" s="1102" t="s">
        <v>808</v>
      </c>
      <c r="AF153" s="1102" t="s">
        <v>77</v>
      </c>
      <c r="AG153" s="1102" t="s">
        <v>61</v>
      </c>
      <c r="AH153" s="1102" t="s">
        <v>105</v>
      </c>
      <c r="AI153" s="1103">
        <v>46066</v>
      </c>
      <c r="AJ153" s="1103">
        <v>46065</v>
      </c>
      <c r="AK153" s="1103">
        <v>46065</v>
      </c>
      <c r="AL153" s="1103">
        <v>46119</v>
      </c>
      <c r="AM153" s="1103">
        <v>46141</v>
      </c>
      <c r="AN153" s="1103">
        <v>46137</v>
      </c>
      <c r="AO153" s="1102" t="s">
        <v>402</v>
      </c>
      <c r="AP153" s="1102" t="s">
        <v>771</v>
      </c>
      <c r="AQ153" s="1102" t="s">
        <v>80</v>
      </c>
      <c r="AR153" s="1102" t="s">
        <v>809</v>
      </c>
      <c r="AS153" s="1102" t="s">
        <v>810</v>
      </c>
      <c r="AT153" s="1102" t="s">
        <v>810</v>
      </c>
      <c r="AU153" s="1102">
        <v>72</v>
      </c>
      <c r="AW153" s="1103">
        <v>46137</v>
      </c>
      <c r="AX153" s="1102" t="s">
        <v>84</v>
      </c>
      <c r="AY153" s="1103">
        <v>46150</v>
      </c>
      <c r="AZ153" s="1102">
        <v>7</v>
      </c>
      <c r="BA153" s="1103">
        <v>46144</v>
      </c>
      <c r="BB153" s="1102">
        <v>2026</v>
      </c>
      <c r="BC153" s="1102">
        <v>5</v>
      </c>
      <c r="BD153" s="1102">
        <v>18</v>
      </c>
      <c r="BE153" s="1102">
        <v>36</v>
      </c>
      <c r="BF153" s="1102">
        <v>864</v>
      </c>
      <c r="BG153" s="1102" t="s">
        <v>85</v>
      </c>
      <c r="BH153" s="1102" t="s">
        <v>109</v>
      </c>
    </row>
    <row r="154" spans="1:60">
      <c r="A154" s="1102" t="s">
        <v>811</v>
      </c>
      <c r="B154" s="1102" t="s">
        <v>800</v>
      </c>
      <c r="C154" s="1102" t="s">
        <v>801</v>
      </c>
      <c r="D154" s="1102" t="s">
        <v>63</v>
      </c>
      <c r="E154" s="1102" t="s">
        <v>64</v>
      </c>
      <c r="F154" s="1102" t="s">
        <v>450</v>
      </c>
      <c r="G154" s="1102" t="s">
        <v>402</v>
      </c>
      <c r="H154" s="1102" t="s">
        <v>451</v>
      </c>
      <c r="I154" s="1102" t="s">
        <v>68</v>
      </c>
      <c r="J154" s="1102" t="s">
        <v>812</v>
      </c>
      <c r="K154" s="1102" t="s">
        <v>328</v>
      </c>
      <c r="M154" s="1102" t="s">
        <v>68</v>
      </c>
      <c r="N154" s="1102">
        <v>46045</v>
      </c>
      <c r="O154" s="1102" t="s">
        <v>70</v>
      </c>
      <c r="P154" s="1102" t="s">
        <v>420</v>
      </c>
      <c r="Q154" s="1102" t="s">
        <v>421</v>
      </c>
      <c r="R154" s="1102" t="s">
        <v>73</v>
      </c>
      <c r="S154" s="1102" t="s">
        <v>120</v>
      </c>
      <c r="T154" s="1102">
        <v>505</v>
      </c>
      <c r="U154" s="1102">
        <v>864</v>
      </c>
      <c r="V154" s="1102">
        <v>0.436</v>
      </c>
      <c r="W154" s="1102">
        <v>24</v>
      </c>
      <c r="X154" s="1102">
        <v>1</v>
      </c>
      <c r="Y154" s="1102" t="s">
        <v>75</v>
      </c>
      <c r="Z154" s="1102" t="s">
        <v>75</v>
      </c>
      <c r="AB154" s="1103">
        <v>46061</v>
      </c>
      <c r="AC154" s="1102">
        <v>6</v>
      </c>
      <c r="AD154" s="1102" t="s">
        <v>813</v>
      </c>
      <c r="AF154" s="1102" t="s">
        <v>77</v>
      </c>
      <c r="AG154" s="1102" t="s">
        <v>61</v>
      </c>
      <c r="AH154" s="1102" t="s">
        <v>456</v>
      </c>
      <c r="AI154" s="1103">
        <v>46070</v>
      </c>
      <c r="AJ154" s="1103">
        <v>46072</v>
      </c>
      <c r="AK154" s="1103">
        <v>46072</v>
      </c>
      <c r="AL154" s="1103">
        <v>46131</v>
      </c>
      <c r="AM154" s="1103">
        <v>46138</v>
      </c>
      <c r="AN154" s="1103">
        <v>46138</v>
      </c>
      <c r="AO154" s="1102" t="s">
        <v>402</v>
      </c>
      <c r="AP154" s="1102" t="s">
        <v>814</v>
      </c>
      <c r="AQ154" s="1102" t="s">
        <v>80</v>
      </c>
      <c r="AR154" s="1102" t="s">
        <v>815</v>
      </c>
      <c r="AS154" s="1102" t="s">
        <v>816</v>
      </c>
      <c r="AT154" s="1102" t="s">
        <v>816</v>
      </c>
      <c r="AU154" s="1102">
        <v>66</v>
      </c>
      <c r="AW154" s="1103">
        <v>46138</v>
      </c>
      <c r="AX154" s="1102" t="s">
        <v>84</v>
      </c>
      <c r="AY154" s="1103">
        <v>46153</v>
      </c>
      <c r="AZ154" s="1102">
        <v>7</v>
      </c>
      <c r="BA154" s="1103">
        <v>46145</v>
      </c>
      <c r="BB154" s="1102">
        <v>2026</v>
      </c>
      <c r="BC154" s="1102">
        <v>5</v>
      </c>
      <c r="BD154" s="1102">
        <v>18</v>
      </c>
      <c r="BE154" s="1102">
        <v>36</v>
      </c>
      <c r="BF154" s="1102">
        <v>864</v>
      </c>
      <c r="BG154" s="1102" t="s">
        <v>85</v>
      </c>
      <c r="BH154" s="1102" t="s">
        <v>109</v>
      </c>
    </row>
    <row r="155" spans="1:60">
      <c r="A155" s="1102" t="s">
        <v>817</v>
      </c>
      <c r="B155" s="1102" t="s">
        <v>61</v>
      </c>
      <c r="C155" s="1102" t="s">
        <v>796</v>
      </c>
      <c r="D155" s="1102" t="s">
        <v>63</v>
      </c>
      <c r="E155" s="1102" t="s">
        <v>64</v>
      </c>
      <c r="F155" s="1102" t="s">
        <v>100</v>
      </c>
      <c r="G155" s="1102" t="s">
        <v>402</v>
      </c>
      <c r="H155" s="1102" t="s">
        <v>67</v>
      </c>
      <c r="I155" s="1102" t="s">
        <v>68</v>
      </c>
      <c r="J155" s="1102" t="s">
        <v>483</v>
      </c>
      <c r="M155" s="1102" t="s">
        <v>68</v>
      </c>
      <c r="N155" s="1102">
        <v>46045</v>
      </c>
      <c r="O155" s="1102" t="s">
        <v>70</v>
      </c>
      <c r="P155" s="1102" t="s">
        <v>570</v>
      </c>
      <c r="Q155" s="1102" t="s">
        <v>571</v>
      </c>
      <c r="R155" s="1102" t="s">
        <v>73</v>
      </c>
      <c r="S155" s="1102" t="s">
        <v>120</v>
      </c>
      <c r="T155" s="1102">
        <v>445</v>
      </c>
      <c r="U155" s="1102">
        <v>4680</v>
      </c>
      <c r="V155" s="1102">
        <v>2.0830000000000002</v>
      </c>
      <c r="W155" s="1102">
        <v>130</v>
      </c>
      <c r="X155" s="1102">
        <v>5</v>
      </c>
      <c r="Y155" s="1102" t="s">
        <v>75</v>
      </c>
      <c r="Z155" s="1102" t="s">
        <v>75</v>
      </c>
      <c r="AB155" s="1103">
        <v>46061</v>
      </c>
      <c r="AC155" s="1102">
        <v>6</v>
      </c>
      <c r="AD155" s="1102" t="s">
        <v>818</v>
      </c>
      <c r="AF155" s="1102" t="s">
        <v>77</v>
      </c>
      <c r="AG155" s="1102" t="s">
        <v>61</v>
      </c>
      <c r="AH155" s="1102" t="s">
        <v>105</v>
      </c>
      <c r="AI155" s="1103">
        <v>46066</v>
      </c>
      <c r="AJ155" s="1103">
        <v>46065</v>
      </c>
      <c r="AK155" s="1103">
        <v>46065</v>
      </c>
      <c r="AL155" s="1103">
        <v>46119</v>
      </c>
      <c r="AM155" s="1103">
        <v>46133</v>
      </c>
      <c r="AN155" s="1103">
        <v>46133</v>
      </c>
      <c r="AO155" s="1102" t="s">
        <v>402</v>
      </c>
      <c r="AP155" s="1102" t="s">
        <v>771</v>
      </c>
      <c r="AQ155" s="1102" t="s">
        <v>80</v>
      </c>
      <c r="AR155" s="1102" t="s">
        <v>819</v>
      </c>
      <c r="AS155" s="1102" t="s">
        <v>820</v>
      </c>
      <c r="AT155" s="1102" t="s">
        <v>820</v>
      </c>
      <c r="AU155" s="1102">
        <v>68</v>
      </c>
      <c r="AW155" s="1103">
        <v>46133</v>
      </c>
      <c r="AX155" s="1102" t="s">
        <v>84</v>
      </c>
      <c r="AY155" s="1103">
        <v>46147</v>
      </c>
      <c r="AZ155" s="1102">
        <v>7</v>
      </c>
      <c r="BA155" s="1103">
        <v>46140</v>
      </c>
      <c r="BB155" s="1102">
        <v>2026</v>
      </c>
      <c r="BC155" s="1102">
        <v>4</v>
      </c>
      <c r="BD155" s="1102">
        <v>18</v>
      </c>
      <c r="BE155" s="1102">
        <v>36</v>
      </c>
      <c r="BF155" s="1102">
        <v>936</v>
      </c>
      <c r="BG155" s="1102" t="s">
        <v>94</v>
      </c>
      <c r="BH155" s="1102" t="s">
        <v>109</v>
      </c>
    </row>
    <row r="156" spans="1:60">
      <c r="A156" s="1102" t="s">
        <v>821</v>
      </c>
      <c r="B156" s="1102" t="s">
        <v>111</v>
      </c>
      <c r="C156" s="1102" t="s">
        <v>376</v>
      </c>
      <c r="D156" s="1102" t="s">
        <v>113</v>
      </c>
      <c r="E156" s="1102" t="s">
        <v>64</v>
      </c>
      <c r="F156" s="1102" t="s">
        <v>65</v>
      </c>
      <c r="G156" s="1102" t="s">
        <v>402</v>
      </c>
      <c r="H156" s="1102" t="s">
        <v>67</v>
      </c>
      <c r="I156" s="1102" t="s">
        <v>822</v>
      </c>
      <c r="J156" s="1102" t="s">
        <v>377</v>
      </c>
      <c r="K156" s="1102" t="s">
        <v>328</v>
      </c>
      <c r="M156" s="1102" t="s">
        <v>68</v>
      </c>
      <c r="N156" s="1102" t="s">
        <v>68</v>
      </c>
      <c r="O156" s="1102" t="s">
        <v>70</v>
      </c>
      <c r="P156" s="1102" t="s">
        <v>378</v>
      </c>
      <c r="Q156" s="1102" t="s">
        <v>379</v>
      </c>
      <c r="R156" s="1102" t="s">
        <v>73</v>
      </c>
      <c r="S156" s="1102" t="s">
        <v>120</v>
      </c>
      <c r="T156" s="1102">
        <v>620</v>
      </c>
      <c r="U156" s="1102">
        <v>10800</v>
      </c>
      <c r="V156" s="1102">
        <v>6.6959999999999997</v>
      </c>
      <c r="W156" s="1102">
        <v>300</v>
      </c>
      <c r="X156" s="1102">
        <v>15</v>
      </c>
      <c r="Y156" s="1102" t="s">
        <v>75</v>
      </c>
      <c r="Z156" s="1102" t="s">
        <v>75</v>
      </c>
      <c r="AB156" s="1103">
        <v>46063</v>
      </c>
      <c r="AC156" s="1102">
        <v>7</v>
      </c>
      <c r="AD156" s="1102" t="s">
        <v>823</v>
      </c>
      <c r="AF156" s="1102" t="s">
        <v>122</v>
      </c>
      <c r="AG156" s="1102" t="s">
        <v>123</v>
      </c>
      <c r="AH156" s="1102" t="s">
        <v>356</v>
      </c>
      <c r="AI156" s="1103">
        <v>46068</v>
      </c>
      <c r="AJ156" s="1103">
        <v>46068</v>
      </c>
      <c r="AK156" s="1103">
        <v>46079</v>
      </c>
      <c r="AL156" s="1103">
        <v>46095</v>
      </c>
      <c r="AM156" s="1103">
        <v>46112</v>
      </c>
      <c r="AN156" s="1103">
        <v>46115</v>
      </c>
      <c r="AO156" s="1102" t="s">
        <v>402</v>
      </c>
      <c r="AP156" s="1102" t="s">
        <v>824</v>
      </c>
      <c r="AQ156" s="1102" t="s">
        <v>161</v>
      </c>
      <c r="AR156" s="1102" t="s">
        <v>825</v>
      </c>
      <c r="AS156" s="1102" t="s">
        <v>826</v>
      </c>
      <c r="AT156" s="1102" t="s">
        <v>826</v>
      </c>
      <c r="AU156" s="1102">
        <v>36</v>
      </c>
      <c r="AW156" s="1103">
        <v>46115</v>
      </c>
      <c r="AX156" s="1102" t="s">
        <v>84</v>
      </c>
      <c r="AY156" s="1103">
        <v>46127</v>
      </c>
      <c r="AZ156" s="1102">
        <v>8</v>
      </c>
      <c r="BA156" s="1103">
        <v>46123</v>
      </c>
      <c r="BB156" s="1102">
        <v>2026</v>
      </c>
      <c r="BC156" s="1102">
        <v>4</v>
      </c>
      <c r="BD156" s="1102">
        <v>15</v>
      </c>
      <c r="BE156" s="1102">
        <v>36</v>
      </c>
      <c r="BF156" s="1102">
        <v>720</v>
      </c>
      <c r="BG156" s="1102" t="s">
        <v>128</v>
      </c>
      <c r="BH156" s="1102" t="s">
        <v>109</v>
      </c>
    </row>
    <row r="157" spans="1:60">
      <c r="A157" s="1102" t="s">
        <v>827</v>
      </c>
      <c r="B157" s="1102" t="s">
        <v>111</v>
      </c>
      <c r="C157" s="1102" t="s">
        <v>168</v>
      </c>
      <c r="D157" s="1102" t="s">
        <v>63</v>
      </c>
      <c r="E157" s="1102" t="s">
        <v>64</v>
      </c>
      <c r="F157" s="1102" t="s">
        <v>100</v>
      </c>
      <c r="G157" s="1102" t="s">
        <v>66</v>
      </c>
      <c r="H157" s="1102" t="s">
        <v>67</v>
      </c>
      <c r="I157" s="1102" t="s">
        <v>68</v>
      </c>
      <c r="J157" s="1102" t="s">
        <v>169</v>
      </c>
      <c r="M157" s="1102" t="s">
        <v>68</v>
      </c>
      <c r="N157" s="1102" t="s">
        <v>68</v>
      </c>
      <c r="O157" s="1102" t="s">
        <v>70</v>
      </c>
      <c r="P157" s="1102" t="s">
        <v>171</v>
      </c>
      <c r="Q157" s="1102" t="s">
        <v>172</v>
      </c>
      <c r="R157" s="1102" t="s">
        <v>73</v>
      </c>
      <c r="S157" s="1102" t="s">
        <v>120</v>
      </c>
      <c r="T157" s="1102">
        <v>555</v>
      </c>
      <c r="U157" s="1102">
        <v>1320</v>
      </c>
      <c r="V157" s="1102">
        <v>0.73299999999999998</v>
      </c>
      <c r="W157" s="1102">
        <v>40</v>
      </c>
      <c r="X157" s="1102">
        <v>2</v>
      </c>
      <c r="Y157" s="1102" t="s">
        <v>75</v>
      </c>
      <c r="Z157" s="1102" t="s">
        <v>75</v>
      </c>
      <c r="AB157" s="1103">
        <v>46061</v>
      </c>
      <c r="AC157" s="1102">
        <v>6</v>
      </c>
      <c r="AD157" s="1102" t="s">
        <v>828</v>
      </c>
      <c r="AF157" s="1102" t="s">
        <v>122</v>
      </c>
      <c r="AG157" s="1102" t="s">
        <v>123</v>
      </c>
      <c r="AH157" s="1102" t="s">
        <v>105</v>
      </c>
      <c r="AI157" s="1103">
        <v>46067</v>
      </c>
      <c r="AJ157" s="1103">
        <v>46087</v>
      </c>
      <c r="AK157" s="1103">
        <v>46086</v>
      </c>
      <c r="AL157" s="1103">
        <v>46108</v>
      </c>
      <c r="AM157" s="1103">
        <v>46133</v>
      </c>
      <c r="AN157" s="1103">
        <v>46133</v>
      </c>
      <c r="AO157" s="1102" t="s">
        <v>402</v>
      </c>
      <c r="AP157" s="1102" t="s">
        <v>829</v>
      </c>
      <c r="AQ157" s="1102" t="s">
        <v>80</v>
      </c>
      <c r="AR157" s="1102" t="s">
        <v>830</v>
      </c>
      <c r="AS157" s="1102" t="s">
        <v>831</v>
      </c>
      <c r="AT157" s="1102" t="s">
        <v>831</v>
      </c>
      <c r="AU157" s="1102">
        <v>47</v>
      </c>
      <c r="AW157" s="1103">
        <v>46133</v>
      </c>
      <c r="AX157" s="1102" t="s">
        <v>84</v>
      </c>
      <c r="AY157" s="1103">
        <v>46147</v>
      </c>
      <c r="AZ157" s="1102">
        <v>7</v>
      </c>
      <c r="BA157" s="1103">
        <v>46140</v>
      </c>
      <c r="BB157" s="1102">
        <v>2026</v>
      </c>
      <c r="BC157" s="1102">
        <v>4</v>
      </c>
      <c r="BD157" s="1102">
        <v>18</v>
      </c>
      <c r="BE157" s="1102">
        <v>33</v>
      </c>
      <c r="BF157" s="1102">
        <v>660</v>
      </c>
      <c r="BG157" s="1102" t="s">
        <v>108</v>
      </c>
      <c r="BH157" s="1102" t="s">
        <v>109</v>
      </c>
    </row>
    <row r="158" spans="1:60">
      <c r="A158" s="1102" t="s">
        <v>832</v>
      </c>
      <c r="B158" s="1102" t="s">
        <v>111</v>
      </c>
      <c r="C158" s="1102" t="s">
        <v>376</v>
      </c>
      <c r="D158" s="1102" t="s">
        <v>113</v>
      </c>
      <c r="E158" s="1102" t="s">
        <v>64</v>
      </c>
      <c r="F158" s="1102" t="s">
        <v>65</v>
      </c>
      <c r="G158" s="1102" t="s">
        <v>402</v>
      </c>
      <c r="H158" s="1102" t="s">
        <v>67</v>
      </c>
      <c r="I158" s="1102" t="s">
        <v>68</v>
      </c>
      <c r="J158" s="1102" t="s">
        <v>377</v>
      </c>
      <c r="K158" s="1102" t="s">
        <v>328</v>
      </c>
      <c r="M158" s="1102" t="s">
        <v>68</v>
      </c>
      <c r="N158" s="1102">
        <v>46045</v>
      </c>
      <c r="O158" s="1102" t="s">
        <v>70</v>
      </c>
      <c r="P158" s="1102" t="s">
        <v>378</v>
      </c>
      <c r="Q158" s="1102" t="s">
        <v>379</v>
      </c>
      <c r="R158" s="1102" t="s">
        <v>73</v>
      </c>
      <c r="S158" s="1102" t="s">
        <v>120</v>
      </c>
      <c r="T158" s="1102">
        <v>620</v>
      </c>
      <c r="U158" s="1102">
        <v>5040</v>
      </c>
      <c r="V158" s="1102">
        <v>3.125</v>
      </c>
      <c r="W158" s="1102">
        <v>140</v>
      </c>
      <c r="X158" s="1102">
        <v>7</v>
      </c>
      <c r="Y158" s="1102" t="s">
        <v>75</v>
      </c>
      <c r="Z158" s="1102" t="s">
        <v>75</v>
      </c>
      <c r="AB158" s="1103">
        <v>46066</v>
      </c>
      <c r="AC158" s="1102">
        <v>7</v>
      </c>
      <c r="AD158" s="1102" t="s">
        <v>833</v>
      </c>
      <c r="AF158" s="1102" t="s">
        <v>122</v>
      </c>
      <c r="AG158" s="1102" t="s">
        <v>123</v>
      </c>
      <c r="AH158" s="1102" t="s">
        <v>78</v>
      </c>
      <c r="AI158" s="1103">
        <v>46071</v>
      </c>
      <c r="AJ158" s="1103">
        <v>46075</v>
      </c>
      <c r="AK158" s="1103">
        <v>46075</v>
      </c>
      <c r="AL158" s="1103">
        <v>46119</v>
      </c>
      <c r="AM158" s="1103">
        <v>46125</v>
      </c>
      <c r="AN158" s="1103">
        <v>46125</v>
      </c>
      <c r="AO158" s="1102" t="s">
        <v>402</v>
      </c>
      <c r="AP158" s="1102" t="s">
        <v>834</v>
      </c>
      <c r="AQ158" s="1102" t="s">
        <v>80</v>
      </c>
      <c r="AR158" s="1102" t="s">
        <v>835</v>
      </c>
      <c r="AS158" s="1102" t="s">
        <v>836</v>
      </c>
      <c r="AT158" s="1102" t="s">
        <v>836</v>
      </c>
      <c r="AU158" s="1102">
        <v>50</v>
      </c>
      <c r="AW158" s="1103">
        <v>46125</v>
      </c>
      <c r="AX158" s="1102" t="s">
        <v>84</v>
      </c>
      <c r="AY158" s="1103">
        <v>46133</v>
      </c>
      <c r="AZ158" s="1102">
        <v>8</v>
      </c>
      <c r="BA158" s="1103">
        <v>46133</v>
      </c>
      <c r="BB158" s="1102">
        <v>2026</v>
      </c>
      <c r="BC158" s="1102">
        <v>4</v>
      </c>
      <c r="BD158" s="1102">
        <v>17</v>
      </c>
      <c r="BE158" s="1102">
        <v>36</v>
      </c>
      <c r="BF158" s="1102">
        <v>720</v>
      </c>
      <c r="BG158" s="1102" t="s">
        <v>128</v>
      </c>
      <c r="BH158" s="1102" t="s">
        <v>86</v>
      </c>
    </row>
    <row r="159" spans="1:60">
      <c r="A159" s="1102" t="s">
        <v>837</v>
      </c>
      <c r="B159" s="1102" t="s">
        <v>111</v>
      </c>
      <c r="C159" s="1102" t="s">
        <v>838</v>
      </c>
      <c r="D159" s="1102" t="s">
        <v>63</v>
      </c>
      <c r="E159" s="1102" t="s">
        <v>144</v>
      </c>
      <c r="F159" s="1102" t="s">
        <v>145</v>
      </c>
      <c r="G159" s="1102" t="s">
        <v>402</v>
      </c>
      <c r="H159" s="1102" t="s">
        <v>593</v>
      </c>
      <c r="I159" s="1102" t="s">
        <v>68</v>
      </c>
      <c r="J159" s="1102" t="s">
        <v>594</v>
      </c>
      <c r="K159" s="1102" t="s">
        <v>839</v>
      </c>
      <c r="M159" s="1102" t="s">
        <v>840</v>
      </c>
      <c r="N159" s="1102">
        <v>46045</v>
      </c>
      <c r="O159" s="1102" t="s">
        <v>132</v>
      </c>
      <c r="P159" s="1102" t="s">
        <v>841</v>
      </c>
      <c r="Q159" s="1102" t="s">
        <v>842</v>
      </c>
      <c r="R159" s="1102" t="s">
        <v>73</v>
      </c>
      <c r="S159" s="1102" t="s">
        <v>120</v>
      </c>
      <c r="T159" s="1102">
        <v>515</v>
      </c>
      <c r="U159" s="1102">
        <v>3168</v>
      </c>
      <c r="V159" s="1102">
        <v>1.6319999999999999</v>
      </c>
      <c r="W159" s="1102">
        <v>88</v>
      </c>
      <c r="X159" s="1102">
        <v>4</v>
      </c>
      <c r="Y159" s="1102" t="s">
        <v>75</v>
      </c>
      <c r="Z159" s="1102" t="s">
        <v>75</v>
      </c>
      <c r="AB159" s="1103">
        <v>46060</v>
      </c>
      <c r="AC159" s="1102">
        <v>6</v>
      </c>
      <c r="AD159" s="1102" t="s">
        <v>843</v>
      </c>
      <c r="AF159" s="1102" t="s">
        <v>122</v>
      </c>
      <c r="AG159" s="1102" t="s">
        <v>123</v>
      </c>
      <c r="AH159" s="1102" t="s">
        <v>124</v>
      </c>
      <c r="AI159" s="1103">
        <v>46069</v>
      </c>
      <c r="AJ159" s="1103">
        <v>46072</v>
      </c>
      <c r="AK159" s="1103">
        <v>46072</v>
      </c>
      <c r="AL159" s="1103">
        <v>46121</v>
      </c>
      <c r="AM159" s="1103">
        <v>46123</v>
      </c>
      <c r="AN159" s="1103">
        <v>46127</v>
      </c>
      <c r="AO159" s="1102" t="s">
        <v>402</v>
      </c>
      <c r="AP159" s="1102" t="s">
        <v>844</v>
      </c>
      <c r="AQ159" s="1102" t="s">
        <v>80</v>
      </c>
      <c r="AR159" s="1102" t="s">
        <v>845</v>
      </c>
      <c r="AS159" s="1102" t="s">
        <v>846</v>
      </c>
      <c r="AT159" s="1102" t="s">
        <v>846</v>
      </c>
      <c r="AU159" s="1102">
        <v>55</v>
      </c>
      <c r="AW159" s="1103">
        <v>46127</v>
      </c>
      <c r="AX159" s="1102" t="s">
        <v>84</v>
      </c>
      <c r="AY159" s="1103">
        <v>46135</v>
      </c>
      <c r="AZ159" s="1102" t="s">
        <v>152</v>
      </c>
      <c r="BA159" s="1103">
        <v>46127</v>
      </c>
      <c r="BB159" s="1102">
        <v>2026</v>
      </c>
      <c r="BC159" s="1102">
        <v>4</v>
      </c>
      <c r="BD159" s="1102">
        <v>16</v>
      </c>
      <c r="BE159" s="1102">
        <v>36</v>
      </c>
      <c r="BF159" s="1102">
        <v>792</v>
      </c>
      <c r="BG159" s="1102" t="s">
        <v>108</v>
      </c>
      <c r="BH159" s="1102" t="s">
        <v>86</v>
      </c>
    </row>
    <row r="160" spans="1:60">
      <c r="A160" s="1102" t="s">
        <v>847</v>
      </c>
      <c r="B160" s="1102" t="s">
        <v>77</v>
      </c>
      <c r="C160" s="1102" t="s">
        <v>705</v>
      </c>
      <c r="D160" s="1102" t="s">
        <v>63</v>
      </c>
      <c r="E160" s="1102" t="s">
        <v>64</v>
      </c>
      <c r="F160" s="1102" t="s">
        <v>100</v>
      </c>
      <c r="G160" s="1102" t="s">
        <v>402</v>
      </c>
      <c r="H160" s="1102" t="s">
        <v>67</v>
      </c>
      <c r="I160" s="1102" t="s">
        <v>68</v>
      </c>
      <c r="J160" s="1102" t="s">
        <v>848</v>
      </c>
      <c r="M160" s="1102" t="s">
        <v>68</v>
      </c>
      <c r="N160" s="1102">
        <v>46045</v>
      </c>
      <c r="O160" s="1102" t="s">
        <v>70</v>
      </c>
      <c r="P160" s="1102" t="s">
        <v>706</v>
      </c>
      <c r="Q160" s="1102" t="s">
        <v>707</v>
      </c>
      <c r="R160" s="1102" t="s">
        <v>73</v>
      </c>
      <c r="S160" s="1102" t="s">
        <v>74</v>
      </c>
      <c r="T160" s="1102">
        <v>500</v>
      </c>
      <c r="U160" s="1102">
        <v>72</v>
      </c>
      <c r="V160" s="1102">
        <v>3.5999999999999997E-2</v>
      </c>
      <c r="W160" s="1102">
        <v>2</v>
      </c>
      <c r="X160" s="1102">
        <v>0.1</v>
      </c>
      <c r="Y160" s="1102" t="s">
        <v>75</v>
      </c>
      <c r="Z160" s="1102" t="s">
        <v>75</v>
      </c>
      <c r="AB160" s="1103">
        <v>46062</v>
      </c>
      <c r="AC160" s="1102">
        <v>7</v>
      </c>
      <c r="AD160" s="1102" t="s">
        <v>849</v>
      </c>
      <c r="AF160" s="1102" t="s">
        <v>77</v>
      </c>
      <c r="AG160" s="1102" t="s">
        <v>61</v>
      </c>
      <c r="AH160" s="1102" t="s">
        <v>105</v>
      </c>
      <c r="AI160" s="1103">
        <v>46080</v>
      </c>
      <c r="AJ160" s="1103">
        <v>46081</v>
      </c>
      <c r="AK160" s="1103">
        <v>46081</v>
      </c>
      <c r="AL160" s="1103">
        <v>46139</v>
      </c>
      <c r="AM160" s="1103">
        <v>46141</v>
      </c>
      <c r="AN160" s="1103">
        <v>46137</v>
      </c>
      <c r="AO160" s="1102" t="s">
        <v>402</v>
      </c>
      <c r="AP160" s="1102" t="s">
        <v>850</v>
      </c>
      <c r="AQ160" s="1102" t="s">
        <v>80</v>
      </c>
      <c r="AR160" s="1102" t="s">
        <v>851</v>
      </c>
      <c r="AS160" s="1102" t="s">
        <v>852</v>
      </c>
      <c r="AT160" s="1102" t="s">
        <v>852</v>
      </c>
      <c r="AU160" s="1102">
        <v>56</v>
      </c>
      <c r="AW160" s="1103">
        <v>46137</v>
      </c>
      <c r="AX160" s="1102" t="s">
        <v>84</v>
      </c>
      <c r="AY160" s="1103">
        <v>46150</v>
      </c>
      <c r="AZ160" s="1102">
        <v>7</v>
      </c>
      <c r="BA160" s="1103">
        <v>46144</v>
      </c>
      <c r="BB160" s="1102">
        <v>2026</v>
      </c>
      <c r="BC160" s="1102">
        <v>5</v>
      </c>
      <c r="BD160" s="1102">
        <v>18</v>
      </c>
      <c r="BE160" s="1102">
        <v>36</v>
      </c>
      <c r="BF160" s="1102">
        <v>864</v>
      </c>
      <c r="BG160" s="1102" t="s">
        <v>85</v>
      </c>
      <c r="BH160" s="1102" t="s">
        <v>109</v>
      </c>
    </row>
    <row r="161" spans="1:60">
      <c r="A161" s="1102" t="s">
        <v>688</v>
      </c>
      <c r="B161" s="1102" t="s">
        <v>77</v>
      </c>
      <c r="C161" s="1102" t="s">
        <v>203</v>
      </c>
      <c r="D161" s="1102" t="s">
        <v>63</v>
      </c>
      <c r="E161" s="1102" t="s">
        <v>64</v>
      </c>
      <c r="F161" s="1102" t="s">
        <v>100</v>
      </c>
      <c r="G161" s="1102" t="s">
        <v>402</v>
      </c>
      <c r="H161" s="1102" t="s">
        <v>67</v>
      </c>
      <c r="I161" s="1102" t="s">
        <v>68</v>
      </c>
      <c r="J161" s="1102" t="s">
        <v>853</v>
      </c>
      <c r="M161" s="1102" t="s">
        <v>68</v>
      </c>
      <c r="N161" s="1102">
        <v>46045</v>
      </c>
      <c r="O161" s="1102" t="s">
        <v>70</v>
      </c>
      <c r="P161" s="1102" t="s">
        <v>691</v>
      </c>
      <c r="Q161" s="1102" t="s">
        <v>692</v>
      </c>
      <c r="R161" s="1102" t="s">
        <v>73</v>
      </c>
      <c r="S161" s="1102" t="s">
        <v>74</v>
      </c>
      <c r="T161" s="1102">
        <v>505</v>
      </c>
      <c r="U161" s="1102">
        <v>36</v>
      </c>
      <c r="V161" s="1102">
        <v>1.7999999999999999E-2</v>
      </c>
      <c r="W161" s="1102">
        <v>1</v>
      </c>
      <c r="X161" s="1102">
        <v>0</v>
      </c>
      <c r="Y161" s="1102" t="s">
        <v>75</v>
      </c>
      <c r="Z161" s="1102" t="s">
        <v>75</v>
      </c>
      <c r="AB161" s="1103">
        <v>46062</v>
      </c>
      <c r="AC161" s="1102">
        <v>7</v>
      </c>
      <c r="AD161" s="1102" t="s">
        <v>854</v>
      </c>
      <c r="AF161" s="1102" t="s">
        <v>77</v>
      </c>
      <c r="AG161" s="1102" t="s">
        <v>61</v>
      </c>
      <c r="AH161" s="1102" t="s">
        <v>105</v>
      </c>
      <c r="AI161" s="1103">
        <v>46080</v>
      </c>
      <c r="AJ161" s="1103">
        <v>46081</v>
      </c>
      <c r="AK161" s="1103">
        <v>46081</v>
      </c>
      <c r="AL161" s="1103">
        <v>46139</v>
      </c>
      <c r="AM161" s="1103">
        <v>46141</v>
      </c>
      <c r="AN161" s="1103">
        <v>46137</v>
      </c>
      <c r="AO161" s="1102" t="s">
        <v>402</v>
      </c>
      <c r="AP161" s="1102" t="s">
        <v>850</v>
      </c>
      <c r="AQ161" s="1102" t="s">
        <v>80</v>
      </c>
      <c r="AR161" s="1102" t="s">
        <v>851</v>
      </c>
      <c r="AS161" s="1102" t="s">
        <v>852</v>
      </c>
      <c r="AT161" s="1102" t="s">
        <v>852</v>
      </c>
      <c r="AU161" s="1102">
        <v>56</v>
      </c>
      <c r="AW161" s="1103">
        <v>46137</v>
      </c>
      <c r="AX161" s="1102" t="s">
        <v>84</v>
      </c>
      <c r="AY161" s="1103">
        <v>46150</v>
      </c>
      <c r="AZ161" s="1102">
        <v>7</v>
      </c>
      <c r="BA161" s="1103">
        <v>46144</v>
      </c>
      <c r="BB161" s="1102">
        <v>2026</v>
      </c>
      <c r="BC161" s="1102">
        <v>5</v>
      </c>
      <c r="BD161" s="1102">
        <v>18</v>
      </c>
      <c r="BE161" s="1102">
        <v>36</v>
      </c>
      <c r="BF161" s="1102">
        <v>864</v>
      </c>
      <c r="BG161" s="1102" t="s">
        <v>85</v>
      </c>
      <c r="BH161" s="1102" t="s">
        <v>109</v>
      </c>
    </row>
    <row r="162" spans="1:60">
      <c r="A162" s="1102" t="s">
        <v>855</v>
      </c>
      <c r="B162" s="1102" t="s">
        <v>61</v>
      </c>
      <c r="C162" s="1102" t="s">
        <v>584</v>
      </c>
      <c r="D162" s="1102" t="s">
        <v>63</v>
      </c>
      <c r="E162" s="1102" t="s">
        <v>64</v>
      </c>
      <c r="F162" s="1102" t="s">
        <v>100</v>
      </c>
      <c r="G162" s="1102" t="s">
        <v>402</v>
      </c>
      <c r="H162" s="1102" t="s">
        <v>67</v>
      </c>
      <c r="I162" s="1102" t="s">
        <v>68</v>
      </c>
      <c r="J162" s="1102" t="s">
        <v>856</v>
      </c>
      <c r="M162" s="1102" t="s">
        <v>68</v>
      </c>
      <c r="N162" s="1102">
        <v>46045</v>
      </c>
      <c r="O162" s="1102" t="s">
        <v>70</v>
      </c>
      <c r="P162" s="1102" t="s">
        <v>585</v>
      </c>
      <c r="Q162" s="1102" t="s">
        <v>103</v>
      </c>
      <c r="R162" s="1102" t="s">
        <v>331</v>
      </c>
      <c r="S162" s="1102" t="s">
        <v>120</v>
      </c>
      <c r="T162" s="1102">
        <v>620</v>
      </c>
      <c r="U162" s="1102">
        <v>612</v>
      </c>
      <c r="V162" s="1102">
        <v>0.379</v>
      </c>
      <c r="W162" s="1102">
        <v>17</v>
      </c>
      <c r="X162" s="1102">
        <v>0.9</v>
      </c>
      <c r="Y162" s="1102" t="s">
        <v>75</v>
      </c>
      <c r="Z162" s="1102" t="s">
        <v>75</v>
      </c>
      <c r="AB162" s="1103">
        <v>46062</v>
      </c>
      <c r="AC162" s="1102">
        <v>7</v>
      </c>
      <c r="AD162" s="1102" t="s">
        <v>857</v>
      </c>
      <c r="AF162" s="1102" t="s">
        <v>77</v>
      </c>
      <c r="AG162" s="1102" t="s">
        <v>61</v>
      </c>
      <c r="AH162" s="1102" t="s">
        <v>105</v>
      </c>
      <c r="AI162" s="1103">
        <v>46080</v>
      </c>
      <c r="AJ162" s="1103">
        <v>46081</v>
      </c>
      <c r="AK162" s="1103">
        <v>46081</v>
      </c>
      <c r="AL162" s="1103">
        <v>46139</v>
      </c>
      <c r="AM162" s="1103">
        <v>46141</v>
      </c>
      <c r="AN162" s="1103">
        <v>46137</v>
      </c>
      <c r="AO162" s="1102" t="s">
        <v>402</v>
      </c>
      <c r="AP162" s="1102" t="s">
        <v>850</v>
      </c>
      <c r="AQ162" s="1102" t="s">
        <v>80</v>
      </c>
      <c r="AR162" s="1102" t="s">
        <v>851</v>
      </c>
      <c r="AS162" s="1102" t="s">
        <v>852</v>
      </c>
      <c r="AT162" s="1102" t="s">
        <v>852</v>
      </c>
      <c r="AU162" s="1102">
        <v>56</v>
      </c>
      <c r="AW162" s="1103">
        <v>46137</v>
      </c>
      <c r="AX162" s="1102" t="s">
        <v>84</v>
      </c>
      <c r="AY162" s="1103">
        <v>46150</v>
      </c>
      <c r="AZ162" s="1102">
        <v>7</v>
      </c>
      <c r="BA162" s="1103">
        <v>46144</v>
      </c>
      <c r="BB162" s="1102">
        <v>2026</v>
      </c>
      <c r="BC162" s="1102">
        <v>5</v>
      </c>
      <c r="BD162" s="1102">
        <v>18</v>
      </c>
      <c r="BE162" s="1102">
        <v>36</v>
      </c>
      <c r="BF162" s="1102">
        <v>720</v>
      </c>
      <c r="BG162" s="1102" t="s">
        <v>128</v>
      </c>
      <c r="BH162" s="1102" t="s">
        <v>109</v>
      </c>
    </row>
    <row r="163" spans="1:60">
      <c r="A163" s="1102" t="s">
        <v>858</v>
      </c>
      <c r="B163" s="1102" t="s">
        <v>77</v>
      </c>
      <c r="C163" s="1102" t="s">
        <v>203</v>
      </c>
      <c r="D163" s="1102" t="s">
        <v>63</v>
      </c>
      <c r="E163" s="1102" t="s">
        <v>64</v>
      </c>
      <c r="F163" s="1102" t="s">
        <v>65</v>
      </c>
      <c r="G163" s="1102" t="s">
        <v>402</v>
      </c>
      <c r="H163" s="1102" t="s">
        <v>67</v>
      </c>
      <c r="I163" s="1102" t="s">
        <v>68</v>
      </c>
      <c r="J163" s="1102" t="s">
        <v>859</v>
      </c>
      <c r="M163" s="1102" t="s">
        <v>68</v>
      </c>
      <c r="N163" s="1102" t="s">
        <v>68</v>
      </c>
      <c r="O163" s="1102" t="s">
        <v>70</v>
      </c>
      <c r="P163" s="1102" t="s">
        <v>860</v>
      </c>
      <c r="Q163" s="1102" t="s">
        <v>861</v>
      </c>
      <c r="R163" s="1102" t="s">
        <v>73</v>
      </c>
      <c r="S163" s="1102" t="s">
        <v>74</v>
      </c>
      <c r="T163" s="1102">
        <v>445</v>
      </c>
      <c r="U163" s="1102">
        <v>576</v>
      </c>
      <c r="V163" s="1102">
        <v>0.25600000000000001</v>
      </c>
      <c r="W163" s="1102">
        <v>16</v>
      </c>
      <c r="X163" s="1102">
        <v>0.6</v>
      </c>
      <c r="Y163" s="1102" t="s">
        <v>75</v>
      </c>
      <c r="Z163" s="1102" t="s">
        <v>75</v>
      </c>
      <c r="AB163" s="1103">
        <v>46062</v>
      </c>
      <c r="AC163" s="1102">
        <v>7</v>
      </c>
      <c r="AD163" s="1102" t="s">
        <v>862</v>
      </c>
      <c r="AF163" s="1102" t="s">
        <v>77</v>
      </c>
      <c r="AG163" s="1102" t="s">
        <v>61</v>
      </c>
      <c r="AH163" s="1102" t="s">
        <v>78</v>
      </c>
      <c r="AI163" s="1103">
        <v>46070</v>
      </c>
      <c r="AJ163" s="1103">
        <v>46072</v>
      </c>
      <c r="AK163" s="1103">
        <v>46072</v>
      </c>
      <c r="AL163" s="1103">
        <v>46146</v>
      </c>
      <c r="AM163" s="1103">
        <v>46153</v>
      </c>
      <c r="AN163" s="1103">
        <v>46159</v>
      </c>
      <c r="AO163" s="1102" t="s">
        <v>402</v>
      </c>
      <c r="AP163" s="1102" t="s">
        <v>814</v>
      </c>
      <c r="AQ163" s="1102" t="s">
        <v>80</v>
      </c>
      <c r="AR163" s="1102" t="s">
        <v>863</v>
      </c>
      <c r="AS163" s="1102" t="s">
        <v>864</v>
      </c>
      <c r="AT163" s="1102" t="s">
        <v>864</v>
      </c>
      <c r="AU163" s="1102">
        <v>87</v>
      </c>
      <c r="AW163" s="1103">
        <v>46159</v>
      </c>
      <c r="AX163" s="1102" t="s">
        <v>84</v>
      </c>
      <c r="AY163" s="1103">
        <v>46171</v>
      </c>
      <c r="AZ163" s="1102">
        <v>8</v>
      </c>
      <c r="BA163" s="1103">
        <v>46167</v>
      </c>
      <c r="BB163" s="1102">
        <v>2026</v>
      </c>
      <c r="BC163" s="1102">
        <v>5</v>
      </c>
      <c r="BD163" s="1102">
        <v>22</v>
      </c>
      <c r="BE163" s="1102">
        <v>36</v>
      </c>
      <c r="BF163" s="1102">
        <v>936</v>
      </c>
      <c r="BG163" s="1102" t="s">
        <v>94</v>
      </c>
      <c r="BH163" s="1102" t="s">
        <v>86</v>
      </c>
    </row>
    <row r="164" spans="1:60">
      <c r="A164" s="1102" t="s">
        <v>780</v>
      </c>
      <c r="B164" s="1102" t="s">
        <v>61</v>
      </c>
      <c r="C164" s="1102" t="s">
        <v>203</v>
      </c>
      <c r="D164" s="1102" t="s">
        <v>63</v>
      </c>
      <c r="E164" s="1102" t="s">
        <v>64</v>
      </c>
      <c r="F164" s="1102" t="s">
        <v>65</v>
      </c>
      <c r="G164" s="1102" t="s">
        <v>402</v>
      </c>
      <c r="H164" s="1102" t="s">
        <v>67</v>
      </c>
      <c r="I164" s="1102" t="s">
        <v>68</v>
      </c>
      <c r="J164" s="1102" t="s">
        <v>865</v>
      </c>
      <c r="M164" s="1102" t="s">
        <v>68</v>
      </c>
      <c r="N164" s="1102" t="s">
        <v>68</v>
      </c>
      <c r="O164" s="1102" t="s">
        <v>70</v>
      </c>
      <c r="P164" s="1102" t="s">
        <v>204</v>
      </c>
      <c r="Q164" s="1102" t="s">
        <v>205</v>
      </c>
      <c r="R164" s="1102" t="s">
        <v>73</v>
      </c>
      <c r="S164" s="1102" t="s">
        <v>74</v>
      </c>
      <c r="T164" s="1102">
        <v>455</v>
      </c>
      <c r="U164" s="1102">
        <v>360</v>
      </c>
      <c r="V164" s="1102">
        <v>0.16400000000000001</v>
      </c>
      <c r="W164" s="1102">
        <v>10</v>
      </c>
      <c r="X164" s="1102">
        <v>0.4</v>
      </c>
      <c r="Y164" s="1102" t="s">
        <v>75</v>
      </c>
      <c r="Z164" s="1102" t="s">
        <v>75</v>
      </c>
      <c r="AB164" s="1103">
        <v>46062</v>
      </c>
      <c r="AC164" s="1102">
        <v>7</v>
      </c>
      <c r="AD164" s="1102" t="s">
        <v>866</v>
      </c>
      <c r="AF164" s="1102" t="s">
        <v>77</v>
      </c>
      <c r="AG164" s="1102" t="s">
        <v>61</v>
      </c>
      <c r="AH164" s="1102" t="s">
        <v>78</v>
      </c>
      <c r="AI164" s="1103">
        <v>46070</v>
      </c>
      <c r="AJ164" s="1103">
        <v>46072</v>
      </c>
      <c r="AK164" s="1103">
        <v>46072</v>
      </c>
      <c r="AL164" s="1103">
        <v>46146</v>
      </c>
      <c r="AM164" s="1103">
        <v>46153</v>
      </c>
      <c r="AN164" s="1103">
        <v>46159</v>
      </c>
      <c r="AO164" s="1102" t="s">
        <v>402</v>
      </c>
      <c r="AP164" s="1102" t="s">
        <v>814</v>
      </c>
      <c r="AQ164" s="1102" t="s">
        <v>80</v>
      </c>
      <c r="AR164" s="1102" t="s">
        <v>863</v>
      </c>
      <c r="AS164" s="1102" t="s">
        <v>864</v>
      </c>
      <c r="AT164" s="1102" t="s">
        <v>864</v>
      </c>
      <c r="AU164" s="1102">
        <v>87</v>
      </c>
      <c r="AW164" s="1103">
        <v>46159</v>
      </c>
      <c r="AX164" s="1102" t="s">
        <v>84</v>
      </c>
      <c r="AY164" s="1103">
        <v>46171</v>
      </c>
      <c r="AZ164" s="1102">
        <v>8</v>
      </c>
      <c r="BA164" s="1103">
        <v>46167</v>
      </c>
      <c r="BB164" s="1102">
        <v>2026</v>
      </c>
      <c r="BC164" s="1102">
        <v>5</v>
      </c>
      <c r="BD164" s="1102">
        <v>22</v>
      </c>
      <c r="BE164" s="1102">
        <v>36</v>
      </c>
      <c r="BF164" s="1102">
        <v>936</v>
      </c>
      <c r="BG164" s="1102" t="s">
        <v>94</v>
      </c>
      <c r="BH164" s="1102" t="s">
        <v>86</v>
      </c>
    </row>
    <row r="165" spans="1:60">
      <c r="A165" s="1102" t="s">
        <v>867</v>
      </c>
      <c r="B165" s="1102" t="s">
        <v>61</v>
      </c>
      <c r="C165" s="1102" t="s">
        <v>203</v>
      </c>
      <c r="D165" s="1102" t="s">
        <v>63</v>
      </c>
      <c r="E165" s="1102" t="s">
        <v>144</v>
      </c>
      <c r="F165" s="1102" t="s">
        <v>145</v>
      </c>
      <c r="G165" s="1102" t="s">
        <v>402</v>
      </c>
      <c r="H165" s="1102" t="s">
        <v>868</v>
      </c>
      <c r="I165" s="1102" t="s">
        <v>869</v>
      </c>
      <c r="J165" s="1102" t="s">
        <v>147</v>
      </c>
      <c r="K165" s="1102" t="s">
        <v>870</v>
      </c>
      <c r="M165" s="1102" t="s">
        <v>840</v>
      </c>
      <c r="N165" s="1102">
        <v>46045</v>
      </c>
      <c r="O165" s="1102" t="s">
        <v>70</v>
      </c>
      <c r="P165" s="1102" t="s">
        <v>71</v>
      </c>
      <c r="Q165" s="1102" t="s">
        <v>72</v>
      </c>
      <c r="R165" s="1102" t="s">
        <v>73</v>
      </c>
      <c r="S165" s="1102" t="s">
        <v>74</v>
      </c>
      <c r="T165" s="1102">
        <v>500</v>
      </c>
      <c r="U165" s="1102">
        <v>864</v>
      </c>
      <c r="V165" s="1102">
        <v>0.432</v>
      </c>
      <c r="W165" s="1102">
        <v>24</v>
      </c>
      <c r="X165" s="1102">
        <v>1</v>
      </c>
      <c r="Y165" s="1102" t="s">
        <v>75</v>
      </c>
      <c r="Z165" s="1102" t="s">
        <v>75</v>
      </c>
      <c r="AB165" s="1103">
        <v>46079</v>
      </c>
      <c r="AC165" s="1102">
        <v>9</v>
      </c>
      <c r="AD165" s="1102" t="s">
        <v>871</v>
      </c>
      <c r="AF165" s="1102" t="s">
        <v>77</v>
      </c>
      <c r="AG165" s="1102" t="s">
        <v>61</v>
      </c>
      <c r="AH165" s="1102" t="s">
        <v>78</v>
      </c>
      <c r="AI165" s="1103">
        <v>46084</v>
      </c>
      <c r="AJ165" s="1103">
        <v>46084</v>
      </c>
      <c r="AK165" s="1103">
        <v>46084</v>
      </c>
      <c r="AL165" s="1103">
        <v>46160</v>
      </c>
      <c r="AM165" s="1103">
        <v>46169</v>
      </c>
      <c r="AN165" s="1103">
        <v>46165</v>
      </c>
      <c r="AO165" s="1102" t="s">
        <v>402</v>
      </c>
      <c r="AP165" s="1102" t="s">
        <v>872</v>
      </c>
      <c r="AQ165" s="1102" t="s">
        <v>80</v>
      </c>
      <c r="AR165" s="1102" t="s">
        <v>873</v>
      </c>
      <c r="AS165" s="1102" t="s">
        <v>874</v>
      </c>
      <c r="AT165" s="1102" t="s">
        <v>875</v>
      </c>
      <c r="AU165" s="1102">
        <v>81</v>
      </c>
      <c r="AW165" s="1103">
        <v>46165</v>
      </c>
      <c r="AX165" s="1102" t="s">
        <v>84</v>
      </c>
      <c r="AY165" s="1103">
        <v>46174</v>
      </c>
      <c r="AZ165" s="1102" t="s">
        <v>152</v>
      </c>
      <c r="BA165" s="1103">
        <v>46165</v>
      </c>
      <c r="BB165" s="1102">
        <v>2026</v>
      </c>
      <c r="BC165" s="1102">
        <v>5</v>
      </c>
      <c r="BD165" s="1102">
        <v>21</v>
      </c>
      <c r="BE165" s="1102">
        <v>36</v>
      </c>
      <c r="BF165" s="1102">
        <v>864</v>
      </c>
      <c r="BG165" s="1102" t="s">
        <v>85</v>
      </c>
      <c r="BH165" s="1102" t="s">
        <v>86</v>
      </c>
    </row>
    <row r="166" spans="1:60">
      <c r="A166" s="1102" t="s">
        <v>876</v>
      </c>
      <c r="B166" s="1102" t="s">
        <v>61</v>
      </c>
      <c r="C166" s="1102" t="s">
        <v>203</v>
      </c>
      <c r="D166" s="1102" t="s">
        <v>63</v>
      </c>
      <c r="E166" s="1102" t="s">
        <v>64</v>
      </c>
      <c r="F166" s="1102" t="s">
        <v>65</v>
      </c>
      <c r="G166" s="1102" t="s">
        <v>402</v>
      </c>
      <c r="H166" s="1102" t="s">
        <v>67</v>
      </c>
      <c r="I166" s="1102" t="s">
        <v>869</v>
      </c>
      <c r="J166" s="1102" t="s">
        <v>96</v>
      </c>
      <c r="M166" s="1102" t="s">
        <v>68</v>
      </c>
      <c r="N166" s="1102">
        <v>46045</v>
      </c>
      <c r="O166" s="1102" t="s">
        <v>70</v>
      </c>
      <c r="P166" s="1102" t="s">
        <v>71</v>
      </c>
      <c r="Q166" s="1102" t="s">
        <v>72</v>
      </c>
      <c r="R166" s="1102" t="s">
        <v>73</v>
      </c>
      <c r="S166" s="1102" t="s">
        <v>74</v>
      </c>
      <c r="T166" s="1102">
        <v>500</v>
      </c>
      <c r="U166" s="1102">
        <v>1728</v>
      </c>
      <c r="V166" s="1102">
        <v>0.86399999999999999</v>
      </c>
      <c r="W166" s="1102">
        <v>48</v>
      </c>
      <c r="X166" s="1102">
        <v>2</v>
      </c>
      <c r="Y166" s="1102" t="s">
        <v>75</v>
      </c>
      <c r="Z166" s="1102" t="s">
        <v>75</v>
      </c>
      <c r="AB166" s="1103">
        <v>46079</v>
      </c>
      <c r="AC166" s="1102">
        <v>9</v>
      </c>
      <c r="AD166" s="1102" t="s">
        <v>877</v>
      </c>
      <c r="AF166" s="1102" t="s">
        <v>77</v>
      </c>
      <c r="AG166" s="1102" t="s">
        <v>61</v>
      </c>
      <c r="AH166" s="1102" t="s">
        <v>78</v>
      </c>
      <c r="AI166" s="1103">
        <v>46084</v>
      </c>
      <c r="AJ166" s="1103">
        <v>46084</v>
      </c>
      <c r="AK166" s="1103">
        <v>46084</v>
      </c>
      <c r="AL166" s="1103">
        <v>46160</v>
      </c>
      <c r="AM166" s="1103">
        <v>46169</v>
      </c>
      <c r="AN166" s="1103">
        <v>46165</v>
      </c>
      <c r="AO166" s="1102" t="s">
        <v>402</v>
      </c>
      <c r="AP166" s="1102" t="s">
        <v>872</v>
      </c>
      <c r="AQ166" s="1102" t="s">
        <v>80</v>
      </c>
      <c r="AR166" s="1102" t="s">
        <v>878</v>
      </c>
      <c r="AS166" s="1102" t="s">
        <v>875</v>
      </c>
      <c r="AT166" s="1102" t="s">
        <v>875</v>
      </c>
      <c r="AU166" s="1102">
        <v>81</v>
      </c>
      <c r="AW166" s="1103">
        <v>46165</v>
      </c>
      <c r="AX166" s="1102" t="s">
        <v>84</v>
      </c>
      <c r="AY166" s="1103">
        <v>46177</v>
      </c>
      <c r="AZ166" s="1102">
        <v>8</v>
      </c>
      <c r="BA166" s="1103">
        <v>46173</v>
      </c>
      <c r="BB166" s="1102">
        <v>2026</v>
      </c>
      <c r="BC166" s="1102">
        <v>5</v>
      </c>
      <c r="BD166" s="1102">
        <v>22</v>
      </c>
      <c r="BE166" s="1102">
        <v>36</v>
      </c>
      <c r="BF166" s="1102">
        <v>864</v>
      </c>
      <c r="BG166" s="1102" t="s">
        <v>85</v>
      </c>
      <c r="BH166" s="1102" t="s">
        <v>86</v>
      </c>
    </row>
    <row r="167" spans="1:60">
      <c r="A167" s="1102" t="s">
        <v>62</v>
      </c>
      <c r="B167" s="1102" t="s">
        <v>61</v>
      </c>
      <c r="C167" s="1102" t="s">
        <v>203</v>
      </c>
      <c r="D167" s="1102" t="s">
        <v>63</v>
      </c>
      <c r="E167" s="1102" t="s">
        <v>64</v>
      </c>
      <c r="F167" s="1102" t="s">
        <v>65</v>
      </c>
      <c r="G167" s="1102" t="s">
        <v>402</v>
      </c>
      <c r="H167" s="1102" t="s">
        <v>67</v>
      </c>
      <c r="I167" s="1102" t="s">
        <v>869</v>
      </c>
      <c r="J167" s="1102" t="s">
        <v>96</v>
      </c>
      <c r="M167" s="1102" t="s">
        <v>68</v>
      </c>
      <c r="N167" s="1102">
        <v>46045</v>
      </c>
      <c r="O167" s="1102" t="s">
        <v>70</v>
      </c>
      <c r="P167" s="1102" t="s">
        <v>71</v>
      </c>
      <c r="Q167" s="1102" t="s">
        <v>72</v>
      </c>
      <c r="R167" s="1102" t="s">
        <v>73</v>
      </c>
      <c r="S167" s="1102" t="s">
        <v>74</v>
      </c>
      <c r="T167" s="1102">
        <v>500</v>
      </c>
      <c r="U167" s="1102">
        <v>1728</v>
      </c>
      <c r="V167" s="1102">
        <v>0.86399999999999999</v>
      </c>
      <c r="W167" s="1102">
        <v>48</v>
      </c>
      <c r="X167" s="1102">
        <v>2</v>
      </c>
      <c r="Y167" s="1102" t="s">
        <v>75</v>
      </c>
      <c r="Z167" s="1102" t="s">
        <v>75</v>
      </c>
      <c r="AB167" s="1103">
        <v>46079</v>
      </c>
      <c r="AC167" s="1102">
        <v>9</v>
      </c>
      <c r="AD167" s="1102" t="s">
        <v>879</v>
      </c>
      <c r="AF167" s="1102" t="s">
        <v>77</v>
      </c>
      <c r="AG167" s="1102" t="s">
        <v>61</v>
      </c>
      <c r="AH167" s="1102" t="s">
        <v>78</v>
      </c>
      <c r="AI167" s="1103">
        <v>46084</v>
      </c>
      <c r="AJ167" s="1103">
        <v>46084</v>
      </c>
      <c r="AK167" s="1103">
        <v>46084</v>
      </c>
      <c r="AL167" s="1103">
        <v>46160</v>
      </c>
      <c r="AM167" s="1103">
        <v>46169</v>
      </c>
      <c r="AN167" s="1103">
        <v>46165</v>
      </c>
      <c r="AO167" s="1102" t="s">
        <v>402</v>
      </c>
      <c r="AP167" s="1102" t="s">
        <v>872</v>
      </c>
      <c r="AQ167" s="1102" t="s">
        <v>80</v>
      </c>
      <c r="AR167" s="1102" t="s">
        <v>878</v>
      </c>
      <c r="AS167" s="1102" t="s">
        <v>875</v>
      </c>
      <c r="AT167" s="1102" t="s">
        <v>875</v>
      </c>
      <c r="AU167" s="1102">
        <v>81</v>
      </c>
      <c r="AW167" s="1103">
        <v>46165</v>
      </c>
      <c r="AX167" s="1102" t="s">
        <v>84</v>
      </c>
      <c r="AY167" s="1103">
        <v>46181</v>
      </c>
      <c r="AZ167" s="1102">
        <v>8</v>
      </c>
      <c r="BA167" s="1103">
        <v>46173</v>
      </c>
      <c r="BB167" s="1102">
        <v>2026</v>
      </c>
      <c r="BC167" s="1102">
        <v>5</v>
      </c>
      <c r="BD167" s="1102">
        <v>22</v>
      </c>
      <c r="BE167" s="1102">
        <v>36</v>
      </c>
      <c r="BF167" s="1102">
        <v>864</v>
      </c>
      <c r="BG167" s="1102" t="s">
        <v>85</v>
      </c>
      <c r="BH167" s="1102" t="s">
        <v>86</v>
      </c>
    </row>
    <row r="168" spans="1:60">
      <c r="A168" s="1102" t="s">
        <v>880</v>
      </c>
      <c r="B168" s="1102" t="s">
        <v>61</v>
      </c>
      <c r="C168" s="1102" t="s">
        <v>203</v>
      </c>
      <c r="D168" s="1102" t="s">
        <v>63</v>
      </c>
      <c r="E168" s="1102" t="s">
        <v>144</v>
      </c>
      <c r="F168" s="1102" t="s">
        <v>145</v>
      </c>
      <c r="G168" s="1102" t="s">
        <v>402</v>
      </c>
      <c r="H168" s="1102" t="s">
        <v>881</v>
      </c>
      <c r="I168" s="1102" t="s">
        <v>882</v>
      </c>
      <c r="J168" s="1102" t="s">
        <v>883</v>
      </c>
      <c r="K168" s="1102" t="s">
        <v>884</v>
      </c>
      <c r="M168" s="1102" t="s">
        <v>840</v>
      </c>
      <c r="N168" s="1102">
        <v>46045</v>
      </c>
      <c r="O168" s="1102" t="s">
        <v>70</v>
      </c>
      <c r="P168" s="1102" t="s">
        <v>885</v>
      </c>
      <c r="Q168" s="1102" t="s">
        <v>886</v>
      </c>
      <c r="R168" s="1102" t="s">
        <v>73</v>
      </c>
      <c r="S168" s="1102" t="s">
        <v>120</v>
      </c>
      <c r="T168" s="1102">
        <v>615</v>
      </c>
      <c r="U168" s="1102">
        <v>2880</v>
      </c>
      <c r="V168" s="1102">
        <v>1.7709999999999999</v>
      </c>
      <c r="W168" s="1102">
        <v>80</v>
      </c>
      <c r="X168" s="1102">
        <v>4</v>
      </c>
      <c r="Y168" s="1102" t="s">
        <v>75</v>
      </c>
      <c r="Z168" s="1102" t="s">
        <v>75</v>
      </c>
      <c r="AB168" s="1103">
        <v>46082</v>
      </c>
      <c r="AC168" s="1102">
        <v>9</v>
      </c>
      <c r="AD168" s="1102" t="s">
        <v>887</v>
      </c>
      <c r="AF168" s="1102" t="s">
        <v>77</v>
      </c>
      <c r="AG168" s="1102" t="s">
        <v>61</v>
      </c>
      <c r="AH168" s="1102" t="s">
        <v>888</v>
      </c>
      <c r="AI168" s="1103">
        <v>46088</v>
      </c>
      <c r="AJ168" s="1103">
        <v>46088</v>
      </c>
      <c r="AK168" s="1103">
        <v>46088</v>
      </c>
      <c r="AL168" s="1103">
        <v>46148</v>
      </c>
      <c r="AM168" s="1103">
        <v>46169</v>
      </c>
      <c r="AN168" s="1103">
        <v>46169</v>
      </c>
      <c r="AO168" s="1102" t="s">
        <v>402</v>
      </c>
      <c r="AP168" s="1102" t="s">
        <v>889</v>
      </c>
      <c r="AQ168" s="1102" t="s">
        <v>80</v>
      </c>
      <c r="AR168" s="1102" t="s">
        <v>890</v>
      </c>
      <c r="AS168" s="1102" t="s">
        <v>891</v>
      </c>
      <c r="AT168" s="1102" t="s">
        <v>891</v>
      </c>
      <c r="AU168" s="1102">
        <v>81</v>
      </c>
      <c r="AW168" s="1103">
        <v>46169</v>
      </c>
      <c r="AX168" s="1102" t="s">
        <v>84</v>
      </c>
      <c r="AY168" s="1103">
        <v>46162</v>
      </c>
      <c r="AZ168" s="1102" t="s">
        <v>152</v>
      </c>
      <c r="BA168" s="1103">
        <v>46169</v>
      </c>
      <c r="BB168" s="1102">
        <v>2026</v>
      </c>
      <c r="BC168" s="1102">
        <v>5</v>
      </c>
      <c r="BD168" s="1102">
        <v>22</v>
      </c>
      <c r="BE168" s="1102">
        <v>36</v>
      </c>
      <c r="BF168" s="1102">
        <v>720</v>
      </c>
      <c r="BG168" s="1102" t="s">
        <v>108</v>
      </c>
      <c r="BH168" s="1102" t="s">
        <v>109</v>
      </c>
    </row>
    <row r="169" spans="1:60">
      <c r="A169" s="1102" t="s">
        <v>892</v>
      </c>
      <c r="B169" s="1102" t="s">
        <v>111</v>
      </c>
      <c r="C169" s="1102" t="s">
        <v>376</v>
      </c>
      <c r="D169" s="1102" t="s">
        <v>113</v>
      </c>
      <c r="E169" s="1102" t="s">
        <v>64</v>
      </c>
      <c r="F169" s="1102" t="s">
        <v>65</v>
      </c>
      <c r="G169" s="1102" t="s">
        <v>402</v>
      </c>
      <c r="H169" s="1102" t="s">
        <v>67</v>
      </c>
      <c r="I169" s="1102" t="s">
        <v>822</v>
      </c>
      <c r="J169" s="1102" t="s">
        <v>377</v>
      </c>
      <c r="K169" s="1102" t="s">
        <v>328</v>
      </c>
      <c r="M169" s="1102" t="s">
        <v>68</v>
      </c>
      <c r="N169" s="1102">
        <v>46045</v>
      </c>
      <c r="O169" s="1102" t="s">
        <v>70</v>
      </c>
      <c r="P169" s="1102" t="s">
        <v>378</v>
      </c>
      <c r="Q169" s="1102" t="s">
        <v>379</v>
      </c>
      <c r="R169" s="1102" t="s">
        <v>73</v>
      </c>
      <c r="S169" s="1102" t="s">
        <v>120</v>
      </c>
      <c r="T169" s="1102">
        <v>620</v>
      </c>
      <c r="U169" s="1102">
        <v>8640</v>
      </c>
      <c r="V169" s="1102">
        <v>5.3570000000000002</v>
      </c>
      <c r="W169" s="1102">
        <v>240</v>
      </c>
      <c r="X169" s="1102">
        <v>12</v>
      </c>
      <c r="Y169" s="1102" t="s">
        <v>75</v>
      </c>
      <c r="Z169" s="1102" t="s">
        <v>75</v>
      </c>
      <c r="AB169" s="1103">
        <v>46078</v>
      </c>
      <c r="AC169" s="1102">
        <v>9</v>
      </c>
      <c r="AD169" s="1102" t="s">
        <v>893</v>
      </c>
      <c r="AF169" s="1102" t="s">
        <v>122</v>
      </c>
      <c r="AG169" s="1102" t="s">
        <v>123</v>
      </c>
      <c r="AH169" s="1102" t="s">
        <v>356</v>
      </c>
      <c r="AI169" s="1103">
        <v>46089</v>
      </c>
      <c r="AJ169" s="1103">
        <v>46097</v>
      </c>
      <c r="AK169" s="1103">
        <v>46089</v>
      </c>
      <c r="AL169" s="1103">
        <v>46126</v>
      </c>
      <c r="AM169" s="1103">
        <v>46126</v>
      </c>
      <c r="AN169" s="1103">
        <v>46124</v>
      </c>
      <c r="AO169" s="1102" t="s">
        <v>402</v>
      </c>
      <c r="AP169" s="1102" t="s">
        <v>894</v>
      </c>
      <c r="AQ169" s="1102" t="s">
        <v>161</v>
      </c>
      <c r="AR169" s="1102" t="s">
        <v>895</v>
      </c>
      <c r="AS169" s="1102" t="s">
        <v>896</v>
      </c>
      <c r="AT169" s="1102" t="s">
        <v>896</v>
      </c>
      <c r="AU169" s="1102">
        <v>35</v>
      </c>
      <c r="AW169" s="1103">
        <v>46124</v>
      </c>
      <c r="AX169" s="1102" t="s">
        <v>84</v>
      </c>
      <c r="AY169" s="1103">
        <v>46139</v>
      </c>
      <c r="AZ169" s="1102">
        <v>8</v>
      </c>
      <c r="BA169" s="1103">
        <v>46132</v>
      </c>
      <c r="BB169" s="1102">
        <v>2026</v>
      </c>
      <c r="BC169" s="1102">
        <v>4</v>
      </c>
      <c r="BD169" s="1102">
        <v>17</v>
      </c>
      <c r="BE169" s="1102">
        <v>36</v>
      </c>
      <c r="BF169" s="1102">
        <v>720</v>
      </c>
      <c r="BG169" s="1102" t="s">
        <v>128</v>
      </c>
      <c r="BH169" s="1102" t="s">
        <v>109</v>
      </c>
    </row>
    <row r="170" spans="1:60">
      <c r="A170" s="1102" t="s">
        <v>897</v>
      </c>
      <c r="B170" s="1102" t="s">
        <v>111</v>
      </c>
      <c r="C170" s="1102" t="s">
        <v>376</v>
      </c>
      <c r="D170" s="1102" t="s">
        <v>113</v>
      </c>
      <c r="E170" s="1102" t="s">
        <v>64</v>
      </c>
      <c r="F170" s="1102" t="s">
        <v>65</v>
      </c>
      <c r="G170" s="1102" t="s">
        <v>402</v>
      </c>
      <c r="H170" s="1102" t="s">
        <v>67</v>
      </c>
      <c r="I170" s="1102" t="s">
        <v>822</v>
      </c>
      <c r="J170" s="1102" t="s">
        <v>377</v>
      </c>
      <c r="K170" s="1102" t="s">
        <v>328</v>
      </c>
      <c r="M170" s="1102" t="s">
        <v>68</v>
      </c>
      <c r="N170" s="1102">
        <v>46045</v>
      </c>
      <c r="O170" s="1102" t="s">
        <v>70</v>
      </c>
      <c r="P170" s="1102" t="s">
        <v>378</v>
      </c>
      <c r="Q170" s="1102" t="s">
        <v>379</v>
      </c>
      <c r="R170" s="1102" t="s">
        <v>73</v>
      </c>
      <c r="S170" s="1102" t="s">
        <v>120</v>
      </c>
      <c r="T170" s="1102">
        <v>620</v>
      </c>
      <c r="U170" s="1102">
        <v>648</v>
      </c>
      <c r="V170" s="1102">
        <v>0.40200000000000002</v>
      </c>
      <c r="W170" s="1102">
        <v>18</v>
      </c>
      <c r="X170" s="1102">
        <v>0.9</v>
      </c>
      <c r="Y170" s="1102" t="s">
        <v>75</v>
      </c>
      <c r="Z170" s="1102" t="s">
        <v>75</v>
      </c>
      <c r="AB170" s="1103">
        <v>46078</v>
      </c>
      <c r="AC170" s="1102">
        <v>9</v>
      </c>
      <c r="AD170" s="1102" t="s">
        <v>898</v>
      </c>
      <c r="AF170" s="1102" t="s">
        <v>122</v>
      </c>
      <c r="AG170" s="1102" t="s">
        <v>123</v>
      </c>
      <c r="AH170" s="1102" t="s">
        <v>356</v>
      </c>
      <c r="AI170" s="1103">
        <v>46089</v>
      </c>
      <c r="AJ170" s="1103">
        <v>46088</v>
      </c>
      <c r="AK170" s="1103">
        <v>46089</v>
      </c>
      <c r="AL170" s="1103">
        <v>46126</v>
      </c>
      <c r="AM170" s="1103">
        <v>46126</v>
      </c>
      <c r="AN170" s="1103">
        <v>46124</v>
      </c>
      <c r="AO170" s="1102" t="s">
        <v>402</v>
      </c>
      <c r="AP170" s="1102" t="s">
        <v>899</v>
      </c>
      <c r="AQ170" s="1102" t="s">
        <v>80</v>
      </c>
      <c r="AR170" s="1102" t="s">
        <v>900</v>
      </c>
      <c r="AS170" s="1102" t="s">
        <v>901</v>
      </c>
      <c r="AT170" s="1102" t="s">
        <v>901</v>
      </c>
      <c r="AU170" s="1102">
        <v>35</v>
      </c>
      <c r="AW170" s="1103">
        <v>46124</v>
      </c>
      <c r="AX170" s="1102" t="s">
        <v>84</v>
      </c>
      <c r="AY170" s="1103">
        <v>46133</v>
      </c>
      <c r="AZ170" s="1102">
        <v>8</v>
      </c>
      <c r="BA170" s="1103">
        <v>46132</v>
      </c>
      <c r="BB170" s="1102">
        <v>2026</v>
      </c>
      <c r="BC170" s="1102">
        <v>4</v>
      </c>
      <c r="BD170" s="1102">
        <v>17</v>
      </c>
      <c r="BE170" s="1102">
        <v>36</v>
      </c>
      <c r="BF170" s="1102">
        <v>720</v>
      </c>
      <c r="BG170" s="1102" t="s">
        <v>128</v>
      </c>
      <c r="BH170" s="1102" t="s">
        <v>109</v>
      </c>
    </row>
    <row r="171" spans="1:60">
      <c r="A171" s="1102" t="s">
        <v>902</v>
      </c>
      <c r="B171" s="1102" t="s">
        <v>111</v>
      </c>
      <c r="C171" s="1102" t="s">
        <v>584</v>
      </c>
      <c r="D171" s="1102" t="s">
        <v>63</v>
      </c>
      <c r="E171" s="1102" t="s">
        <v>64</v>
      </c>
      <c r="F171" s="1102" t="s">
        <v>100</v>
      </c>
      <c r="G171" s="1102" t="s">
        <v>402</v>
      </c>
      <c r="H171" s="1102" t="s">
        <v>67</v>
      </c>
      <c r="I171" s="1102" t="s">
        <v>689</v>
      </c>
      <c r="J171" s="1102" t="s">
        <v>903</v>
      </c>
      <c r="M171" s="1102" t="s">
        <v>68</v>
      </c>
      <c r="N171" s="1102">
        <v>46073</v>
      </c>
      <c r="O171" s="1102" t="s">
        <v>70</v>
      </c>
      <c r="P171" s="1102" t="s">
        <v>585</v>
      </c>
      <c r="Q171" s="1102" t="s">
        <v>103</v>
      </c>
      <c r="R171" s="1102" t="s">
        <v>331</v>
      </c>
      <c r="S171" s="1102" t="s">
        <v>120</v>
      </c>
      <c r="T171" s="1102">
        <v>620</v>
      </c>
      <c r="U171" s="1102">
        <v>7200</v>
      </c>
      <c r="V171" s="1102">
        <v>4.4640000000000004</v>
      </c>
      <c r="W171" s="1102">
        <v>200</v>
      </c>
      <c r="X171" s="1102">
        <v>10</v>
      </c>
      <c r="Y171" s="1102" t="s">
        <v>75</v>
      </c>
      <c r="Z171" s="1102" t="s">
        <v>75</v>
      </c>
      <c r="AB171" s="1103">
        <v>46080</v>
      </c>
      <c r="AC171" s="1102">
        <v>9</v>
      </c>
      <c r="AD171" s="1102" t="s">
        <v>904</v>
      </c>
      <c r="AF171" s="1102" t="s">
        <v>122</v>
      </c>
      <c r="AG171" s="1102" t="s">
        <v>123</v>
      </c>
      <c r="AH171" s="1102" t="s">
        <v>105</v>
      </c>
      <c r="AI171" s="1103">
        <v>46091</v>
      </c>
      <c r="AJ171" s="1103">
        <v>46096</v>
      </c>
      <c r="AK171" s="1103">
        <v>46096</v>
      </c>
      <c r="AL171" s="1103">
        <v>46126</v>
      </c>
      <c r="AM171" s="1103">
        <v>46142</v>
      </c>
      <c r="AN171" s="1103">
        <v>46141</v>
      </c>
      <c r="AO171" s="1102" t="s">
        <v>402</v>
      </c>
      <c r="AP171" s="1102" t="s">
        <v>872</v>
      </c>
      <c r="AQ171" s="1102" t="s">
        <v>80</v>
      </c>
      <c r="AR171" s="1102" t="s">
        <v>905</v>
      </c>
      <c r="AS171" s="1102" t="s">
        <v>906</v>
      </c>
      <c r="AT171" s="1102" t="s">
        <v>906</v>
      </c>
      <c r="AU171" s="1102">
        <v>45</v>
      </c>
      <c r="AW171" s="1103">
        <v>46141</v>
      </c>
      <c r="AX171" s="1102" t="s">
        <v>84</v>
      </c>
      <c r="AY171" s="1103">
        <v>46163</v>
      </c>
      <c r="AZ171" s="1102">
        <v>7</v>
      </c>
      <c r="BA171" s="1103">
        <v>46148</v>
      </c>
      <c r="BB171" s="1102">
        <v>2026</v>
      </c>
      <c r="BC171" s="1102">
        <v>5</v>
      </c>
      <c r="BD171" s="1102">
        <v>19</v>
      </c>
      <c r="BE171" s="1102">
        <v>36</v>
      </c>
      <c r="BF171" s="1102">
        <v>720</v>
      </c>
      <c r="BG171" s="1102" t="s">
        <v>128</v>
      </c>
      <c r="BH171" s="1102" t="s">
        <v>109</v>
      </c>
    </row>
    <row r="172" spans="1:60">
      <c r="A172" s="1102" t="s">
        <v>907</v>
      </c>
      <c r="B172" s="1102" t="s">
        <v>111</v>
      </c>
      <c r="C172" s="1102" t="s">
        <v>584</v>
      </c>
      <c r="D172" s="1102" t="s">
        <v>63</v>
      </c>
      <c r="E172" s="1102" t="s">
        <v>64</v>
      </c>
      <c r="F172" s="1102" t="s">
        <v>100</v>
      </c>
      <c r="G172" s="1102" t="s">
        <v>402</v>
      </c>
      <c r="H172" s="1102" t="s">
        <v>67</v>
      </c>
      <c r="I172" s="1102" t="s">
        <v>689</v>
      </c>
      <c r="J172" s="1102" t="s">
        <v>101</v>
      </c>
      <c r="M172" s="1102" t="s">
        <v>68</v>
      </c>
      <c r="N172" s="1102">
        <v>46073</v>
      </c>
      <c r="O172" s="1102" t="s">
        <v>70</v>
      </c>
      <c r="P172" s="1102" t="s">
        <v>585</v>
      </c>
      <c r="Q172" s="1102" t="s">
        <v>103</v>
      </c>
      <c r="R172" s="1102" t="s">
        <v>331</v>
      </c>
      <c r="S172" s="1102" t="s">
        <v>120</v>
      </c>
      <c r="T172" s="1102">
        <v>620</v>
      </c>
      <c r="U172" s="1102">
        <v>5760</v>
      </c>
      <c r="V172" s="1102">
        <v>3.5710000000000002</v>
      </c>
      <c r="W172" s="1102">
        <v>160</v>
      </c>
      <c r="X172" s="1102">
        <v>8</v>
      </c>
      <c r="Y172" s="1102" t="s">
        <v>75</v>
      </c>
      <c r="Z172" s="1102" t="s">
        <v>75</v>
      </c>
      <c r="AB172" s="1103">
        <v>46081</v>
      </c>
      <c r="AC172" s="1102">
        <v>9</v>
      </c>
      <c r="AD172" s="1102" t="s">
        <v>908</v>
      </c>
      <c r="AF172" s="1102" t="s">
        <v>122</v>
      </c>
      <c r="AG172" s="1102" t="s">
        <v>123</v>
      </c>
      <c r="AH172" s="1102" t="s">
        <v>105</v>
      </c>
      <c r="AI172" s="1103">
        <v>46091</v>
      </c>
      <c r="AJ172" s="1103">
        <v>46096</v>
      </c>
      <c r="AK172" s="1103">
        <v>46096</v>
      </c>
      <c r="AL172" s="1103">
        <v>46126</v>
      </c>
      <c r="AM172" s="1103">
        <v>46142</v>
      </c>
      <c r="AN172" s="1103">
        <v>46141</v>
      </c>
      <c r="AO172" s="1102" t="s">
        <v>402</v>
      </c>
      <c r="AP172" s="1102" t="s">
        <v>872</v>
      </c>
      <c r="AQ172" s="1102" t="s">
        <v>80</v>
      </c>
      <c r="AR172" s="1102" t="s">
        <v>909</v>
      </c>
      <c r="AS172" s="1102" t="s">
        <v>910</v>
      </c>
      <c r="AT172" s="1102" t="s">
        <v>910</v>
      </c>
      <c r="AU172" s="1102">
        <v>45</v>
      </c>
      <c r="AW172" s="1103">
        <v>46141</v>
      </c>
      <c r="AX172" s="1102" t="s">
        <v>84</v>
      </c>
      <c r="AY172" s="1103">
        <v>46163</v>
      </c>
      <c r="AZ172" s="1102">
        <v>7</v>
      </c>
      <c r="BA172" s="1103">
        <v>46148</v>
      </c>
      <c r="BB172" s="1102">
        <v>2026</v>
      </c>
      <c r="BC172" s="1102">
        <v>5</v>
      </c>
      <c r="BD172" s="1102">
        <v>19</v>
      </c>
      <c r="BE172" s="1102">
        <v>36</v>
      </c>
      <c r="BF172" s="1102">
        <v>720</v>
      </c>
      <c r="BG172" s="1102" t="s">
        <v>128</v>
      </c>
      <c r="BH172" s="1102" t="s">
        <v>109</v>
      </c>
    </row>
    <row r="173" spans="1:60">
      <c r="A173" s="1102" t="s">
        <v>911</v>
      </c>
      <c r="B173" s="1102" t="s">
        <v>111</v>
      </c>
      <c r="C173" s="1102" t="s">
        <v>584</v>
      </c>
      <c r="D173" s="1102" t="s">
        <v>113</v>
      </c>
      <c r="E173" s="1102" t="s">
        <v>64</v>
      </c>
      <c r="F173" s="1102" t="s">
        <v>100</v>
      </c>
      <c r="G173" s="1102" t="s">
        <v>402</v>
      </c>
      <c r="H173" s="1102" t="s">
        <v>67</v>
      </c>
      <c r="I173" s="1102" t="s">
        <v>689</v>
      </c>
      <c r="J173" s="1102" t="s">
        <v>912</v>
      </c>
      <c r="M173" s="1102" t="s">
        <v>68</v>
      </c>
      <c r="N173" s="1102">
        <v>46073</v>
      </c>
      <c r="O173" s="1102" t="s">
        <v>70</v>
      </c>
      <c r="P173" s="1102" t="s">
        <v>585</v>
      </c>
      <c r="Q173" s="1102" t="s">
        <v>103</v>
      </c>
      <c r="R173" s="1102" t="s">
        <v>331</v>
      </c>
      <c r="S173" s="1102" t="s">
        <v>120</v>
      </c>
      <c r="T173" s="1102">
        <v>620</v>
      </c>
      <c r="U173" s="1102">
        <v>10800</v>
      </c>
      <c r="V173" s="1102">
        <v>6.6959999999999997</v>
      </c>
      <c r="W173" s="1102">
        <v>300</v>
      </c>
      <c r="X173" s="1102">
        <v>15</v>
      </c>
      <c r="Y173" s="1102" t="s">
        <v>75</v>
      </c>
      <c r="Z173" s="1102" t="s">
        <v>75</v>
      </c>
      <c r="AB173" s="1103">
        <v>46086</v>
      </c>
      <c r="AC173" s="1102">
        <v>10</v>
      </c>
      <c r="AD173" s="1102" t="s">
        <v>913</v>
      </c>
      <c r="AF173" s="1102" t="s">
        <v>122</v>
      </c>
      <c r="AG173" s="1102" t="s">
        <v>123</v>
      </c>
      <c r="AH173" s="1102" t="s">
        <v>105</v>
      </c>
      <c r="AI173" s="1103">
        <v>46096</v>
      </c>
      <c r="AJ173" s="1103">
        <v>46096</v>
      </c>
      <c r="AK173" s="1103">
        <v>46096</v>
      </c>
      <c r="AL173" s="1103">
        <v>46133</v>
      </c>
      <c r="AM173" s="1103">
        <v>46142</v>
      </c>
      <c r="AN173" s="1103">
        <v>46141</v>
      </c>
      <c r="AO173" s="1102" t="s">
        <v>402</v>
      </c>
      <c r="AP173" s="1102" t="s">
        <v>889</v>
      </c>
      <c r="AQ173" s="1102" t="s">
        <v>80</v>
      </c>
      <c r="AR173" s="1102" t="s">
        <v>914</v>
      </c>
      <c r="AS173" s="1102" t="s">
        <v>915</v>
      </c>
      <c r="AT173" s="1102" t="s">
        <v>915</v>
      </c>
      <c r="AU173" s="1102">
        <v>45</v>
      </c>
      <c r="AW173" s="1103">
        <v>46141</v>
      </c>
      <c r="AX173" s="1102" t="s">
        <v>84</v>
      </c>
      <c r="AY173" s="1103">
        <v>46163</v>
      </c>
      <c r="AZ173" s="1102">
        <v>7</v>
      </c>
      <c r="BA173" s="1103">
        <v>46148</v>
      </c>
      <c r="BB173" s="1102">
        <v>2026</v>
      </c>
      <c r="BC173" s="1102">
        <v>5</v>
      </c>
      <c r="BD173" s="1102">
        <v>19</v>
      </c>
      <c r="BE173" s="1102">
        <v>36</v>
      </c>
      <c r="BF173" s="1102">
        <v>720</v>
      </c>
      <c r="BG173" s="1102" t="s">
        <v>128</v>
      </c>
      <c r="BH173" s="1102" t="s">
        <v>109</v>
      </c>
    </row>
    <row r="174" spans="1:60">
      <c r="A174" s="1102" t="s">
        <v>916</v>
      </c>
      <c r="B174" s="1102" t="s">
        <v>111</v>
      </c>
      <c r="C174" s="1102" t="s">
        <v>584</v>
      </c>
      <c r="D174" s="1102" t="s">
        <v>63</v>
      </c>
      <c r="E174" s="1102" t="s">
        <v>64</v>
      </c>
      <c r="F174" s="1102" t="s">
        <v>100</v>
      </c>
      <c r="G174" s="1102" t="s">
        <v>402</v>
      </c>
      <c r="H174" s="1102" t="s">
        <v>67</v>
      </c>
      <c r="I174" s="1102" t="s">
        <v>689</v>
      </c>
      <c r="J174" s="1102" t="s">
        <v>917</v>
      </c>
      <c r="M174" s="1102" t="s">
        <v>68</v>
      </c>
      <c r="N174" s="1102">
        <v>46073</v>
      </c>
      <c r="O174" s="1102" t="s">
        <v>70</v>
      </c>
      <c r="P174" s="1102" t="s">
        <v>585</v>
      </c>
      <c r="Q174" s="1102" t="s">
        <v>103</v>
      </c>
      <c r="R174" s="1102" t="s">
        <v>331</v>
      </c>
      <c r="S174" s="1102" t="s">
        <v>120</v>
      </c>
      <c r="T174" s="1102">
        <v>620</v>
      </c>
      <c r="U174" s="1102">
        <v>5760</v>
      </c>
      <c r="V174" s="1102">
        <v>3.5710000000000002</v>
      </c>
      <c r="W174" s="1102">
        <v>160</v>
      </c>
      <c r="X174" s="1102">
        <v>8</v>
      </c>
      <c r="Y174" s="1102" t="s">
        <v>75</v>
      </c>
      <c r="Z174" s="1102" t="s">
        <v>75</v>
      </c>
      <c r="AB174" s="1103">
        <v>46092</v>
      </c>
      <c r="AC174" s="1102">
        <v>11</v>
      </c>
      <c r="AD174" s="1102" t="s">
        <v>918</v>
      </c>
      <c r="AF174" s="1102" t="s">
        <v>122</v>
      </c>
      <c r="AG174" s="1102" t="s">
        <v>123</v>
      </c>
      <c r="AH174" s="1102" t="s">
        <v>105</v>
      </c>
      <c r="AI174" s="1103">
        <v>46096</v>
      </c>
      <c r="AJ174" s="1103">
        <v>46103</v>
      </c>
      <c r="AK174" s="1103">
        <v>46103</v>
      </c>
      <c r="AL174" s="1103">
        <v>46133</v>
      </c>
      <c r="AM174" s="1103">
        <v>46150</v>
      </c>
      <c r="AN174" s="1103">
        <v>46148</v>
      </c>
      <c r="AO174" s="1102" t="s">
        <v>402</v>
      </c>
      <c r="AP174" s="1102" t="s">
        <v>889</v>
      </c>
      <c r="AQ174" s="1102" t="s">
        <v>80</v>
      </c>
      <c r="AR174" s="1102" t="s">
        <v>919</v>
      </c>
      <c r="AS174" s="1102" t="s">
        <v>920</v>
      </c>
      <c r="AT174" s="1102" t="s">
        <v>920</v>
      </c>
      <c r="AU174" s="1102">
        <v>45</v>
      </c>
      <c r="AW174" s="1103">
        <v>46148</v>
      </c>
      <c r="AX174" s="1102" t="s">
        <v>84</v>
      </c>
      <c r="AY174" s="1103">
        <v>46164</v>
      </c>
      <c r="AZ174" s="1102">
        <v>7</v>
      </c>
      <c r="BA174" s="1103">
        <v>46155</v>
      </c>
      <c r="BB174" s="1102">
        <v>2026</v>
      </c>
      <c r="BC174" s="1102">
        <v>5</v>
      </c>
      <c r="BD174" s="1102">
        <v>20</v>
      </c>
      <c r="BE174" s="1102">
        <v>36</v>
      </c>
      <c r="BF174" s="1102">
        <v>720</v>
      </c>
      <c r="BG174" s="1102" t="s">
        <v>128</v>
      </c>
      <c r="BH174" s="1102" t="s">
        <v>109</v>
      </c>
    </row>
    <row r="175" spans="1:60">
      <c r="A175" s="1102" t="s">
        <v>921</v>
      </c>
      <c r="B175" s="1102" t="s">
        <v>61</v>
      </c>
      <c r="C175" s="1102" t="s">
        <v>922</v>
      </c>
      <c r="D175" s="1102" t="s">
        <v>63</v>
      </c>
      <c r="E175" s="1102" t="s">
        <v>64</v>
      </c>
      <c r="F175" s="1102" t="s">
        <v>100</v>
      </c>
      <c r="G175" s="1102" t="s">
        <v>402</v>
      </c>
      <c r="H175" s="1102" t="s">
        <v>67</v>
      </c>
      <c r="I175" s="1102" t="s">
        <v>689</v>
      </c>
      <c r="J175" s="1102" t="s">
        <v>923</v>
      </c>
      <c r="M175" s="1102" t="s">
        <v>68</v>
      </c>
      <c r="N175" s="1102">
        <v>46045</v>
      </c>
      <c r="O175" s="1102" t="s">
        <v>70</v>
      </c>
      <c r="P175" s="1102" t="s">
        <v>885</v>
      </c>
      <c r="Q175" s="1102" t="s">
        <v>886</v>
      </c>
      <c r="R175" s="1102" t="s">
        <v>73</v>
      </c>
      <c r="S175" s="1102" t="s">
        <v>120</v>
      </c>
      <c r="T175" s="1102">
        <v>615</v>
      </c>
      <c r="U175" s="1102">
        <v>720</v>
      </c>
      <c r="V175" s="1102">
        <v>0.443</v>
      </c>
      <c r="W175" s="1102">
        <v>20</v>
      </c>
      <c r="X175" s="1102">
        <v>1</v>
      </c>
      <c r="Y175" s="1102" t="s">
        <v>75</v>
      </c>
      <c r="Z175" s="1102" t="s">
        <v>75</v>
      </c>
      <c r="AB175" s="1103">
        <v>46091</v>
      </c>
      <c r="AC175" s="1102">
        <v>11</v>
      </c>
      <c r="AD175" s="1102" t="s">
        <v>924</v>
      </c>
      <c r="AF175" s="1102" t="s">
        <v>77</v>
      </c>
      <c r="AG175" s="1102" t="s">
        <v>61</v>
      </c>
      <c r="AH175" s="1102" t="s">
        <v>105</v>
      </c>
      <c r="AI175" s="1103">
        <v>46095</v>
      </c>
      <c r="AJ175" s="1103">
        <v>46095</v>
      </c>
      <c r="AK175" s="1103">
        <v>46095</v>
      </c>
      <c r="AL175" s="1103">
        <v>46142</v>
      </c>
      <c r="AM175" s="1103">
        <v>46154</v>
      </c>
      <c r="AN175" s="1103">
        <v>46157</v>
      </c>
      <c r="AP175" s="1102" t="s">
        <v>925</v>
      </c>
      <c r="AQ175" s="1102" t="s">
        <v>80</v>
      </c>
      <c r="AR175" s="1102" t="s">
        <v>926</v>
      </c>
      <c r="AS175" s="1102" t="s">
        <v>927</v>
      </c>
      <c r="AT175" s="1102" t="s">
        <v>927</v>
      </c>
      <c r="AU175" s="1102">
        <v>62</v>
      </c>
      <c r="AW175" s="1103">
        <v>46157</v>
      </c>
      <c r="AX175" s="1102" t="s">
        <v>84</v>
      </c>
      <c r="AY175" s="1103">
        <v>46171</v>
      </c>
      <c r="AZ175" s="1102">
        <v>7</v>
      </c>
      <c r="BA175" s="1103">
        <v>46164</v>
      </c>
      <c r="BB175" s="1102">
        <v>2026</v>
      </c>
      <c r="BC175" s="1102">
        <v>5</v>
      </c>
      <c r="BD175" s="1102">
        <v>21</v>
      </c>
      <c r="BE175" s="1102">
        <v>36</v>
      </c>
      <c r="BF175" s="1102">
        <v>720</v>
      </c>
      <c r="BG175" s="1102" t="s">
        <v>108</v>
      </c>
      <c r="BH175" s="1102" t="s">
        <v>109</v>
      </c>
    </row>
    <row r="176" spans="1:60">
      <c r="A176" s="1102" t="s">
        <v>584</v>
      </c>
      <c r="B176" s="1102" t="s">
        <v>111</v>
      </c>
      <c r="C176" s="1102" t="s">
        <v>203</v>
      </c>
      <c r="D176" s="1102" t="s">
        <v>113</v>
      </c>
      <c r="E176" s="1102" t="s">
        <v>64</v>
      </c>
      <c r="F176" s="1102" t="s">
        <v>65</v>
      </c>
      <c r="G176" s="1102" t="s">
        <v>402</v>
      </c>
      <c r="H176" s="1102" t="s">
        <v>67</v>
      </c>
      <c r="I176" s="1102" t="s">
        <v>689</v>
      </c>
      <c r="J176" s="1102" t="s">
        <v>928</v>
      </c>
      <c r="M176" s="1102" t="s">
        <v>68</v>
      </c>
      <c r="N176" s="1102">
        <v>46073</v>
      </c>
      <c r="O176" s="1102" t="s">
        <v>70</v>
      </c>
      <c r="P176" s="1102" t="s">
        <v>585</v>
      </c>
      <c r="Q176" s="1102" t="s">
        <v>103</v>
      </c>
      <c r="R176" s="1102" t="s">
        <v>331</v>
      </c>
      <c r="S176" s="1102" t="s">
        <v>120</v>
      </c>
      <c r="T176" s="1102">
        <v>620</v>
      </c>
      <c r="U176" s="1102">
        <v>108</v>
      </c>
      <c r="V176" s="1102">
        <v>6.7000000000000004E-2</v>
      </c>
      <c r="W176" s="1102">
        <v>3</v>
      </c>
      <c r="X176" s="1102">
        <v>0.2</v>
      </c>
      <c r="Y176" s="1102" t="s">
        <v>75</v>
      </c>
      <c r="Z176" s="1102" t="s">
        <v>75</v>
      </c>
      <c r="AB176" s="1103">
        <v>46100</v>
      </c>
      <c r="AC176" s="1102">
        <v>12</v>
      </c>
      <c r="AD176" s="1102" t="s">
        <v>929</v>
      </c>
      <c r="AF176" s="1102" t="s">
        <v>122</v>
      </c>
      <c r="AG176" s="1102" t="s">
        <v>123</v>
      </c>
      <c r="AH176" s="1102" t="s">
        <v>78</v>
      </c>
      <c r="AI176" s="1103">
        <v>46105</v>
      </c>
      <c r="AJ176" s="1103">
        <v>46105</v>
      </c>
      <c r="AK176" s="1103">
        <v>46105</v>
      </c>
      <c r="AL176" s="1103">
        <v>46154</v>
      </c>
      <c r="AM176" s="1103">
        <v>46151</v>
      </c>
      <c r="AN176" s="1103">
        <v>46151</v>
      </c>
      <c r="AO176" s="1102" t="s">
        <v>402</v>
      </c>
      <c r="AP176" s="1102" t="s">
        <v>930</v>
      </c>
      <c r="AQ176" s="1102" t="s">
        <v>80</v>
      </c>
      <c r="AR176" s="1102" t="s">
        <v>931</v>
      </c>
      <c r="AS176" s="1102" t="s">
        <v>932</v>
      </c>
      <c r="AT176" s="1102" t="s">
        <v>932</v>
      </c>
      <c r="AU176" s="1102">
        <v>46</v>
      </c>
      <c r="AW176" s="1103">
        <v>46151</v>
      </c>
      <c r="AX176" s="1102" t="s">
        <v>84</v>
      </c>
      <c r="AY176" s="1103">
        <v>46173</v>
      </c>
      <c r="AZ176" s="1102">
        <v>8</v>
      </c>
      <c r="BA176" s="1103">
        <v>46159</v>
      </c>
      <c r="BB176" s="1102">
        <v>2026</v>
      </c>
      <c r="BC176" s="1102">
        <v>5</v>
      </c>
      <c r="BD176" s="1102">
        <v>20</v>
      </c>
      <c r="BE176" s="1102">
        <v>36</v>
      </c>
      <c r="BF176" s="1102">
        <v>720</v>
      </c>
      <c r="BG176" s="1102" t="s">
        <v>128</v>
      </c>
      <c r="BH176" s="1102" t="s">
        <v>86</v>
      </c>
    </row>
    <row r="177" spans="1:60">
      <c r="A177" s="1102" t="s">
        <v>401</v>
      </c>
      <c r="B177" s="1102" t="s">
        <v>111</v>
      </c>
      <c r="C177" s="1102" t="s">
        <v>203</v>
      </c>
      <c r="D177" s="1102" t="s">
        <v>63</v>
      </c>
      <c r="E177" s="1102" t="s">
        <v>64</v>
      </c>
      <c r="F177" s="1102" t="s">
        <v>65</v>
      </c>
      <c r="G177" s="1102" t="s">
        <v>402</v>
      </c>
      <c r="H177" s="1102" t="s">
        <v>67</v>
      </c>
      <c r="I177" s="1102" t="s">
        <v>689</v>
      </c>
      <c r="J177" s="1102" t="s">
        <v>933</v>
      </c>
      <c r="M177" s="1102" t="s">
        <v>68</v>
      </c>
      <c r="N177" s="1102">
        <v>46045</v>
      </c>
      <c r="O177" s="1102" t="s">
        <v>132</v>
      </c>
      <c r="P177" s="1102" t="s">
        <v>405</v>
      </c>
      <c r="Q177" s="1102" t="s">
        <v>406</v>
      </c>
      <c r="R177" s="1102" t="s">
        <v>73</v>
      </c>
      <c r="S177" s="1102" t="s">
        <v>120</v>
      </c>
      <c r="T177" s="1102">
        <v>510</v>
      </c>
      <c r="U177" s="1102">
        <v>252</v>
      </c>
      <c r="V177" s="1102">
        <v>0.129</v>
      </c>
      <c r="W177" s="1102">
        <v>7</v>
      </c>
      <c r="X177" s="1102">
        <v>0.3</v>
      </c>
      <c r="Y177" s="1102" t="s">
        <v>75</v>
      </c>
      <c r="Z177" s="1102" t="s">
        <v>75</v>
      </c>
      <c r="AB177" s="1103">
        <v>46100</v>
      </c>
      <c r="AC177" s="1102">
        <v>12</v>
      </c>
      <c r="AD177" s="1102" t="s">
        <v>934</v>
      </c>
      <c r="AF177" s="1102" t="s">
        <v>122</v>
      </c>
      <c r="AG177" s="1102" t="s">
        <v>123</v>
      </c>
      <c r="AH177" s="1102" t="s">
        <v>78</v>
      </c>
      <c r="AI177" s="1103">
        <v>46105</v>
      </c>
      <c r="AJ177" s="1103">
        <v>46105</v>
      </c>
      <c r="AK177" s="1103">
        <v>46105</v>
      </c>
      <c r="AL177" s="1103">
        <v>46154</v>
      </c>
      <c r="AM177" s="1103">
        <v>46151</v>
      </c>
      <c r="AN177" s="1103">
        <v>46151</v>
      </c>
      <c r="AO177" s="1102" t="s">
        <v>402</v>
      </c>
      <c r="AP177" s="1102" t="s">
        <v>930</v>
      </c>
      <c r="AQ177" s="1102" t="s">
        <v>80</v>
      </c>
      <c r="AR177" s="1102" t="s">
        <v>931</v>
      </c>
      <c r="AS177" s="1102" t="s">
        <v>932</v>
      </c>
      <c r="AT177" s="1102" t="s">
        <v>932</v>
      </c>
      <c r="AU177" s="1102">
        <v>46</v>
      </c>
      <c r="AW177" s="1103">
        <v>46151</v>
      </c>
      <c r="AX177" s="1102" t="s">
        <v>84</v>
      </c>
      <c r="AY177" s="1103">
        <v>46173</v>
      </c>
      <c r="AZ177" s="1102">
        <v>8</v>
      </c>
      <c r="BA177" s="1103">
        <v>46159</v>
      </c>
      <c r="BB177" s="1102">
        <v>2026</v>
      </c>
      <c r="BC177" s="1102">
        <v>5</v>
      </c>
      <c r="BD177" s="1102">
        <v>20</v>
      </c>
      <c r="BE177" s="1102">
        <v>36</v>
      </c>
      <c r="BF177" s="1102">
        <v>792</v>
      </c>
      <c r="BG177" s="1102" t="s">
        <v>108</v>
      </c>
      <c r="BH177" s="1102" t="s">
        <v>86</v>
      </c>
    </row>
    <row r="178" spans="1:60">
      <c r="A178" s="1102" t="s">
        <v>935</v>
      </c>
      <c r="B178" s="1102" t="s">
        <v>61</v>
      </c>
      <c r="C178" s="1102" t="s">
        <v>922</v>
      </c>
      <c r="D178" s="1102" t="s">
        <v>63</v>
      </c>
      <c r="E178" s="1102" t="s">
        <v>64</v>
      </c>
      <c r="F178" s="1102" t="s">
        <v>100</v>
      </c>
      <c r="G178" s="1102" t="s">
        <v>402</v>
      </c>
      <c r="H178" s="1102" t="s">
        <v>67</v>
      </c>
      <c r="I178" s="1102" t="s">
        <v>689</v>
      </c>
      <c r="J178" s="1102" t="s">
        <v>923</v>
      </c>
      <c r="M178" s="1102" t="s">
        <v>68</v>
      </c>
      <c r="N178" s="1102">
        <v>46045</v>
      </c>
      <c r="O178" s="1102" t="s">
        <v>70</v>
      </c>
      <c r="P178" s="1102" t="s">
        <v>885</v>
      </c>
      <c r="Q178" s="1102" t="s">
        <v>886</v>
      </c>
      <c r="R178" s="1102" t="s">
        <v>73</v>
      </c>
      <c r="S178" s="1102" t="s">
        <v>120</v>
      </c>
      <c r="T178" s="1102">
        <v>615</v>
      </c>
      <c r="U178" s="1102">
        <v>720</v>
      </c>
      <c r="V178" s="1102">
        <v>0.443</v>
      </c>
      <c r="W178" s="1102">
        <v>20</v>
      </c>
      <c r="X178" s="1102">
        <v>1</v>
      </c>
      <c r="Y178" s="1102" t="s">
        <v>75</v>
      </c>
      <c r="Z178" s="1102" t="s">
        <v>75</v>
      </c>
      <c r="AB178" s="1103">
        <v>46098</v>
      </c>
      <c r="AC178" s="1102">
        <v>12</v>
      </c>
      <c r="AD178" s="1102" t="s">
        <v>936</v>
      </c>
      <c r="AF178" s="1102" t="s">
        <v>77</v>
      </c>
      <c r="AG178" s="1102" t="s">
        <v>61</v>
      </c>
      <c r="AH178" s="1102" t="s">
        <v>105</v>
      </c>
      <c r="AI178" s="1103">
        <v>46103</v>
      </c>
      <c r="AJ178" s="1103">
        <v>46103</v>
      </c>
      <c r="AK178" s="1103">
        <v>46103</v>
      </c>
      <c r="AL178" s="1103">
        <v>46147</v>
      </c>
      <c r="AM178" s="1103">
        <v>46154</v>
      </c>
      <c r="AN178" s="1103">
        <v>46157</v>
      </c>
      <c r="AO178" s="1102" t="s">
        <v>402</v>
      </c>
      <c r="AP178" s="1102" t="s">
        <v>937</v>
      </c>
      <c r="AQ178" s="1102" t="s">
        <v>80</v>
      </c>
      <c r="AR178" s="1102" t="s">
        <v>938</v>
      </c>
      <c r="AS178" s="1102" t="s">
        <v>939</v>
      </c>
      <c r="AT178" s="1102" t="s">
        <v>939</v>
      </c>
      <c r="AU178" s="1102">
        <v>54</v>
      </c>
      <c r="AW178" s="1103">
        <v>46157</v>
      </c>
      <c r="AX178" s="1102" t="s">
        <v>84</v>
      </c>
      <c r="AY178" s="1103">
        <v>46171</v>
      </c>
      <c r="AZ178" s="1102">
        <v>7</v>
      </c>
      <c r="BA178" s="1103">
        <v>46164</v>
      </c>
      <c r="BB178" s="1102">
        <v>2026</v>
      </c>
      <c r="BC178" s="1102">
        <v>5</v>
      </c>
      <c r="BD178" s="1102">
        <v>21</v>
      </c>
      <c r="BE178" s="1102">
        <v>36</v>
      </c>
      <c r="BF178" s="1102">
        <v>720</v>
      </c>
      <c r="BG178" s="1102" t="s">
        <v>108</v>
      </c>
      <c r="BH178" s="1102" t="s">
        <v>109</v>
      </c>
    </row>
    <row r="179" spans="1:60">
      <c r="A179" s="1102" t="s">
        <v>940</v>
      </c>
      <c r="B179" s="1102" t="s">
        <v>111</v>
      </c>
      <c r="C179" s="1102" t="s">
        <v>203</v>
      </c>
      <c r="D179" s="1102" t="s">
        <v>63</v>
      </c>
      <c r="E179" s="1102" t="s">
        <v>144</v>
      </c>
      <c r="F179" s="1102" t="s">
        <v>145</v>
      </c>
      <c r="G179" s="1102" t="s">
        <v>68</v>
      </c>
      <c r="H179" s="1102" t="s">
        <v>941</v>
      </c>
      <c r="I179" s="1102" t="s">
        <v>689</v>
      </c>
      <c r="J179" s="1102" t="s">
        <v>942</v>
      </c>
      <c r="M179" s="1102" t="s">
        <v>68</v>
      </c>
      <c r="N179" s="1102">
        <v>46045</v>
      </c>
      <c r="O179" s="1102" t="s">
        <v>70</v>
      </c>
      <c r="P179" s="1102" t="s">
        <v>943</v>
      </c>
      <c r="Q179" s="1102" t="s">
        <v>886</v>
      </c>
      <c r="R179" s="1102" t="s">
        <v>73</v>
      </c>
      <c r="S179" s="1102" t="s">
        <v>74</v>
      </c>
      <c r="T179" s="1102">
        <v>615</v>
      </c>
      <c r="U179" s="1102">
        <v>1440</v>
      </c>
      <c r="V179" s="1102">
        <v>0.88600000000000001</v>
      </c>
      <c r="W179" s="1102">
        <v>40</v>
      </c>
      <c r="X179" s="1102">
        <v>2</v>
      </c>
      <c r="Y179" s="1102" t="s">
        <v>75</v>
      </c>
      <c r="Z179" s="1102" t="s">
        <v>75</v>
      </c>
      <c r="AB179" s="1103">
        <v>46112</v>
      </c>
      <c r="AC179" s="1102">
        <v>14</v>
      </c>
      <c r="AD179" s="1102" t="s">
        <v>944</v>
      </c>
      <c r="AE179" s="1102" t="s">
        <v>68</v>
      </c>
      <c r="AF179" s="1102" t="s">
        <v>945</v>
      </c>
      <c r="AG179" s="1102" t="s">
        <v>123</v>
      </c>
      <c r="AH179" s="1102" t="s">
        <v>946</v>
      </c>
      <c r="AI179" s="1103">
        <v>46112</v>
      </c>
      <c r="AJ179" s="1103">
        <v>46113</v>
      </c>
      <c r="AK179" s="1103">
        <v>46115</v>
      </c>
      <c r="AL179" s="1103">
        <v>46118</v>
      </c>
      <c r="AM179" s="1103">
        <v>46126</v>
      </c>
      <c r="AN179" s="1103">
        <v>46127</v>
      </c>
      <c r="AO179" s="1102" t="s">
        <v>402</v>
      </c>
      <c r="AP179" s="1102" t="s">
        <v>947</v>
      </c>
      <c r="AQ179" s="1102" t="s">
        <v>161</v>
      </c>
      <c r="AR179" s="1102" t="s">
        <v>944</v>
      </c>
      <c r="AS179" s="1102" t="s">
        <v>948</v>
      </c>
      <c r="AT179" s="1102" t="s">
        <v>948</v>
      </c>
      <c r="AU179" s="1102">
        <v>12</v>
      </c>
      <c r="AW179" s="1103">
        <v>46127</v>
      </c>
      <c r="AX179" s="1102" t="s">
        <v>152</v>
      </c>
      <c r="AZ179" s="1102" t="s">
        <v>515</v>
      </c>
      <c r="BA179" s="1103">
        <v>46127</v>
      </c>
      <c r="BB179" s="1102">
        <v>2026</v>
      </c>
      <c r="BC179" s="1102">
        <v>4</v>
      </c>
      <c r="BD179" s="1102">
        <v>16</v>
      </c>
      <c r="BE179" s="1102">
        <v>36</v>
      </c>
      <c r="BF179" s="1102">
        <v>720</v>
      </c>
      <c r="BG179" s="1102" t="s">
        <v>108</v>
      </c>
      <c r="BH179" s="1102" t="s">
        <v>68</v>
      </c>
    </row>
    <row r="180" spans="1:60">
      <c r="A180" s="1102" t="s">
        <v>922</v>
      </c>
      <c r="B180" s="1102" t="s">
        <v>61</v>
      </c>
      <c r="C180" s="1102" t="s">
        <v>203</v>
      </c>
      <c r="D180" s="1102" t="s">
        <v>63</v>
      </c>
      <c r="E180" s="1102" t="s">
        <v>144</v>
      </c>
      <c r="F180" s="1102" t="s">
        <v>145</v>
      </c>
      <c r="G180" s="1102" t="s">
        <v>156</v>
      </c>
      <c r="H180" s="1102" t="s">
        <v>941</v>
      </c>
      <c r="I180" s="1102" t="s">
        <v>68</v>
      </c>
      <c r="J180" s="1102" t="s">
        <v>949</v>
      </c>
      <c r="K180" s="1102" t="s">
        <v>950</v>
      </c>
      <c r="M180" s="1102" t="s">
        <v>68</v>
      </c>
      <c r="N180" s="1102">
        <v>46045</v>
      </c>
      <c r="O180" s="1102" t="s">
        <v>70</v>
      </c>
      <c r="P180" s="1102" t="s">
        <v>885</v>
      </c>
      <c r="Q180" s="1102" t="s">
        <v>886</v>
      </c>
      <c r="R180" s="1102" t="s">
        <v>73</v>
      </c>
      <c r="S180" s="1102" t="s">
        <v>120</v>
      </c>
      <c r="T180" s="1102">
        <v>615</v>
      </c>
      <c r="U180" s="1102">
        <v>3600</v>
      </c>
      <c r="V180" s="1102">
        <v>2.214</v>
      </c>
      <c r="W180" s="1102">
        <v>100</v>
      </c>
      <c r="X180" s="1102">
        <v>5</v>
      </c>
      <c r="Y180" s="1102" t="s">
        <v>75</v>
      </c>
      <c r="Z180" s="1102" t="s">
        <v>951</v>
      </c>
      <c r="AA180" s="1102" t="s">
        <v>197</v>
      </c>
      <c r="AB180" s="1103">
        <v>46058</v>
      </c>
      <c r="AC180" s="1102">
        <v>6</v>
      </c>
      <c r="AD180" s="1102" t="s">
        <v>952</v>
      </c>
      <c r="AE180" s="1102" t="s">
        <v>68</v>
      </c>
      <c r="AF180" s="1102" t="s">
        <v>77</v>
      </c>
      <c r="AG180" s="1102" t="s">
        <v>61</v>
      </c>
      <c r="AH180" s="1102" t="s">
        <v>953</v>
      </c>
      <c r="AI180" s="1103">
        <v>46070</v>
      </c>
      <c r="AJ180" s="1103">
        <v>46071</v>
      </c>
      <c r="AK180" s="1103">
        <v>46071</v>
      </c>
      <c r="AL180" s="1103">
        <v>46101</v>
      </c>
      <c r="AM180" s="1103" t="s">
        <v>197</v>
      </c>
      <c r="AN180" s="1103" t="s">
        <v>197</v>
      </c>
      <c r="AO180" s="1102" t="s">
        <v>156</v>
      </c>
      <c r="AP180" s="1102" t="s">
        <v>954</v>
      </c>
      <c r="AQ180" s="1102" t="s">
        <v>161</v>
      </c>
      <c r="AR180" s="1102" t="s">
        <v>952</v>
      </c>
      <c r="AS180" s="1102" t="s">
        <v>955</v>
      </c>
      <c r="AT180" s="1102" t="s">
        <v>956</v>
      </c>
      <c r="AU180" s="1102">
        <v>0</v>
      </c>
      <c r="AV180" s="1102" t="s">
        <v>197</v>
      </c>
      <c r="AW180" s="1103">
        <v>46101</v>
      </c>
      <c r="AX180" s="1102" t="s">
        <v>152</v>
      </c>
      <c r="AY180" s="1103" t="s">
        <v>197</v>
      </c>
      <c r="AZ180" s="1102" t="s">
        <v>515</v>
      </c>
      <c r="BA180" s="1103">
        <v>46101</v>
      </c>
      <c r="BB180" s="1102">
        <v>2026</v>
      </c>
      <c r="BC180" s="1102">
        <v>3</v>
      </c>
      <c r="BD180" s="1102">
        <v>12</v>
      </c>
      <c r="BE180" s="1102">
        <v>36</v>
      </c>
      <c r="BF180" s="1102">
        <v>720</v>
      </c>
      <c r="BG180" s="1102" t="s">
        <v>108</v>
      </c>
      <c r="BH180" s="1102" t="s">
        <v>68</v>
      </c>
    </row>
    <row r="181" spans="1:60">
      <c r="A181" s="1102" t="s">
        <v>957</v>
      </c>
      <c r="B181" s="1102" t="s">
        <v>111</v>
      </c>
      <c r="C181" s="1102" t="s">
        <v>130</v>
      </c>
      <c r="D181" s="1102" t="s">
        <v>63</v>
      </c>
      <c r="E181" s="1102" t="s">
        <v>144</v>
      </c>
      <c r="F181" s="1102" t="s">
        <v>145</v>
      </c>
      <c r="G181" s="1102" t="s">
        <v>156</v>
      </c>
      <c r="H181" s="1102" t="s">
        <v>941</v>
      </c>
      <c r="I181" s="1102" t="s">
        <v>68</v>
      </c>
      <c r="J181" s="1102" t="s">
        <v>949</v>
      </c>
      <c r="K181" s="1102" t="s">
        <v>950</v>
      </c>
      <c r="M181" s="1102" t="s">
        <v>68</v>
      </c>
      <c r="N181" s="1102" t="s">
        <v>68</v>
      </c>
      <c r="O181" s="1102" t="s">
        <v>132</v>
      </c>
      <c r="P181" s="1102" t="s">
        <v>133</v>
      </c>
      <c r="Q181" s="1102" t="s">
        <v>134</v>
      </c>
      <c r="R181" s="1102" t="s">
        <v>73</v>
      </c>
      <c r="S181" s="1102" t="s">
        <v>120</v>
      </c>
      <c r="T181" s="1102">
        <v>720</v>
      </c>
      <c r="U181" s="1102">
        <v>1188</v>
      </c>
      <c r="V181" s="1102">
        <v>0.85499999999999998</v>
      </c>
      <c r="W181" s="1102">
        <v>36</v>
      </c>
      <c r="X181" s="1102">
        <v>2</v>
      </c>
      <c r="Y181" s="1102" t="s">
        <v>75</v>
      </c>
      <c r="Z181" s="1102" t="s">
        <v>75</v>
      </c>
      <c r="AB181" s="1103">
        <v>46063</v>
      </c>
      <c r="AC181" s="1102">
        <v>7</v>
      </c>
      <c r="AD181" s="1102" t="s">
        <v>958</v>
      </c>
      <c r="AE181" s="1102" t="s">
        <v>68</v>
      </c>
      <c r="AF181" s="1102" t="s">
        <v>122</v>
      </c>
      <c r="AG181" s="1102" t="s">
        <v>123</v>
      </c>
      <c r="AH181" s="1102" t="s">
        <v>953</v>
      </c>
      <c r="AI181" s="1103">
        <v>46070</v>
      </c>
      <c r="AJ181" s="1103">
        <v>46084</v>
      </c>
      <c r="AK181" s="1103">
        <v>46084</v>
      </c>
      <c r="AL181" s="1103">
        <v>46093</v>
      </c>
      <c r="AM181" s="1103">
        <v>46114</v>
      </c>
      <c r="AN181" s="1103">
        <v>46114</v>
      </c>
      <c r="AO181" s="1102" t="s">
        <v>156</v>
      </c>
      <c r="AP181" s="1102" t="s">
        <v>959</v>
      </c>
      <c r="AQ181" s="1102" t="s">
        <v>161</v>
      </c>
      <c r="AR181" s="1102" t="s">
        <v>958</v>
      </c>
      <c r="AS181" s="1102" t="s">
        <v>960</v>
      </c>
      <c r="AT181" s="1102" t="s">
        <v>961</v>
      </c>
      <c r="AU181" s="1102">
        <v>30</v>
      </c>
      <c r="AW181" s="1103">
        <v>46114</v>
      </c>
      <c r="AX181" s="1102" t="s">
        <v>152</v>
      </c>
      <c r="AZ181" s="1102" t="s">
        <v>515</v>
      </c>
      <c r="BA181" s="1103">
        <v>46114</v>
      </c>
      <c r="BB181" s="1102">
        <v>2026</v>
      </c>
      <c r="BC181" s="1102">
        <v>4</v>
      </c>
      <c r="BD181" s="1102">
        <v>14</v>
      </c>
      <c r="BE181" s="1102">
        <v>33</v>
      </c>
      <c r="BF181" s="1102">
        <v>594</v>
      </c>
      <c r="BG181" s="1102" t="s">
        <v>108</v>
      </c>
      <c r="BH181" s="1102" t="s">
        <v>68</v>
      </c>
    </row>
    <row r="182" spans="1:60">
      <c r="A182" s="1102" t="s">
        <v>962</v>
      </c>
      <c r="B182" s="1102" t="s">
        <v>61</v>
      </c>
      <c r="C182" s="1102" t="s">
        <v>963</v>
      </c>
      <c r="D182" s="1102" t="s">
        <v>63</v>
      </c>
      <c r="E182" s="1102" t="s">
        <v>144</v>
      </c>
      <c r="F182" s="1102" t="s">
        <v>145</v>
      </c>
      <c r="G182" s="1102" t="s">
        <v>402</v>
      </c>
      <c r="H182" s="1102" t="s">
        <v>526</v>
      </c>
      <c r="I182" s="1102" t="s">
        <v>68</v>
      </c>
      <c r="J182" s="1102" t="s">
        <v>527</v>
      </c>
      <c r="K182" s="1102" t="s">
        <v>964</v>
      </c>
      <c r="M182" s="1102" t="s">
        <v>68</v>
      </c>
      <c r="N182" s="1102" t="s">
        <v>68</v>
      </c>
      <c r="O182" s="1102" t="s">
        <v>70</v>
      </c>
      <c r="P182" s="1102" t="s">
        <v>965</v>
      </c>
      <c r="Q182" s="1102" t="s">
        <v>966</v>
      </c>
      <c r="R182" s="1102" t="s">
        <v>73</v>
      </c>
      <c r="S182" s="1102" t="s">
        <v>967</v>
      </c>
      <c r="T182" s="1102">
        <v>455</v>
      </c>
      <c r="U182" s="1102">
        <v>9360</v>
      </c>
      <c r="V182" s="1102">
        <v>4.2587999999999999</v>
      </c>
      <c r="W182" s="1102">
        <v>260</v>
      </c>
      <c r="X182" s="1102">
        <v>10</v>
      </c>
      <c r="Y182" s="1102" t="s">
        <v>75</v>
      </c>
      <c r="Z182" s="1102" t="s">
        <v>75</v>
      </c>
      <c r="AB182" s="1103">
        <v>46047</v>
      </c>
      <c r="AC182" s="1102">
        <v>4</v>
      </c>
      <c r="AD182" s="1102" t="s">
        <v>968</v>
      </c>
      <c r="AF182" s="1102" t="s">
        <v>77</v>
      </c>
      <c r="AG182" s="1102" t="s">
        <v>61</v>
      </c>
      <c r="AH182" s="1102" t="s">
        <v>532</v>
      </c>
      <c r="AI182" s="1103">
        <v>46053</v>
      </c>
      <c r="AK182" s="1103">
        <v>46057</v>
      </c>
      <c r="AL182" s="1103">
        <v>46120</v>
      </c>
      <c r="AM182" s="1103">
        <v>46127</v>
      </c>
      <c r="AN182" s="1103">
        <v>46127</v>
      </c>
      <c r="AO182" s="1102" t="s">
        <v>402</v>
      </c>
      <c r="AP182" s="1102" t="s">
        <v>969</v>
      </c>
      <c r="AQ182" s="1102" t="s">
        <v>161</v>
      </c>
      <c r="AR182" s="1102" t="s">
        <v>970</v>
      </c>
      <c r="AS182" s="1102" t="s">
        <v>971</v>
      </c>
      <c r="AT182" s="1102" t="s">
        <v>972</v>
      </c>
      <c r="AU182" s="1102">
        <v>70</v>
      </c>
      <c r="AW182" s="1103">
        <v>46127</v>
      </c>
      <c r="AX182" s="1102" t="s">
        <v>973</v>
      </c>
      <c r="AY182" s="1103">
        <v>46133</v>
      </c>
      <c r="AZ182" s="1102">
        <v>0</v>
      </c>
      <c r="BA182" s="1103">
        <v>46127</v>
      </c>
      <c r="BB182" s="1102">
        <v>2026</v>
      </c>
      <c r="BC182" s="1102">
        <v>4</v>
      </c>
      <c r="BD182" s="1102">
        <v>16</v>
      </c>
      <c r="BE182" s="1102">
        <v>36</v>
      </c>
      <c r="BF182" s="1102">
        <v>936</v>
      </c>
      <c r="BG182" s="1102" t="s">
        <v>85</v>
      </c>
      <c r="BH182" s="1102" t="s">
        <v>109</v>
      </c>
    </row>
    <row r="183" spans="1:60">
      <c r="A183" s="1102" t="s">
        <v>974</v>
      </c>
      <c r="B183" s="1102" t="s">
        <v>61</v>
      </c>
      <c r="C183" s="1102" t="s">
        <v>963</v>
      </c>
      <c r="D183" s="1102" t="s">
        <v>63</v>
      </c>
      <c r="E183" s="1102" t="s">
        <v>64</v>
      </c>
      <c r="F183" s="1102" t="s">
        <v>100</v>
      </c>
      <c r="G183" s="1102" t="s">
        <v>66</v>
      </c>
      <c r="H183" s="1102" t="s">
        <v>67</v>
      </c>
      <c r="I183" s="1102" t="s">
        <v>68</v>
      </c>
      <c r="J183" s="1102" t="s">
        <v>419</v>
      </c>
      <c r="M183" s="1102" t="s">
        <v>68</v>
      </c>
      <c r="N183" s="1102" t="s">
        <v>68</v>
      </c>
      <c r="O183" s="1102" t="s">
        <v>70</v>
      </c>
      <c r="P183" s="1102" t="s">
        <v>965</v>
      </c>
      <c r="Q183" s="1102" t="s">
        <v>966</v>
      </c>
      <c r="R183" s="1102" t="s">
        <v>73</v>
      </c>
      <c r="S183" s="1102" t="s">
        <v>967</v>
      </c>
      <c r="T183" s="1102">
        <v>455</v>
      </c>
      <c r="U183" s="1102">
        <v>3744</v>
      </c>
      <c r="V183" s="1102">
        <v>1.7035199999999999</v>
      </c>
      <c r="W183" s="1102">
        <v>104</v>
      </c>
      <c r="X183" s="1102">
        <v>4</v>
      </c>
      <c r="Y183" s="1102" t="s">
        <v>75</v>
      </c>
      <c r="Z183" s="1102" t="s">
        <v>75</v>
      </c>
      <c r="AB183" s="1103">
        <v>46043</v>
      </c>
      <c r="AC183" s="1102">
        <v>4</v>
      </c>
      <c r="AD183" s="1102" t="s">
        <v>975</v>
      </c>
      <c r="AF183" s="1102" t="s">
        <v>77</v>
      </c>
      <c r="AG183" s="1102" t="s">
        <v>61</v>
      </c>
      <c r="AH183" s="1102" t="s">
        <v>105</v>
      </c>
      <c r="AI183" s="1103">
        <v>46054</v>
      </c>
      <c r="AJ183" s="1103">
        <v>46054</v>
      </c>
      <c r="AK183" s="1103">
        <v>46055</v>
      </c>
      <c r="AL183" s="1103">
        <v>46094</v>
      </c>
      <c r="AM183" s="1103">
        <v>46109</v>
      </c>
      <c r="AN183" s="1103">
        <v>46118</v>
      </c>
      <c r="AO183" s="1102" t="s">
        <v>66</v>
      </c>
      <c r="AP183" s="1102" t="s">
        <v>580</v>
      </c>
      <c r="AQ183" s="1102" t="s">
        <v>80</v>
      </c>
      <c r="AR183" s="1102" t="s">
        <v>976</v>
      </c>
      <c r="AS183" s="1102" t="s">
        <v>977</v>
      </c>
      <c r="AT183" s="1102" t="s">
        <v>977</v>
      </c>
      <c r="AU183" s="1102">
        <v>63</v>
      </c>
      <c r="AW183" s="1103">
        <v>46118</v>
      </c>
      <c r="AX183" s="1102" t="s">
        <v>973</v>
      </c>
      <c r="AY183" s="1103">
        <v>46124</v>
      </c>
      <c r="AZ183" s="1102">
        <v>7</v>
      </c>
      <c r="BA183" s="1103">
        <v>46125</v>
      </c>
      <c r="BB183" s="1102">
        <v>2026</v>
      </c>
      <c r="BC183" s="1102">
        <v>4</v>
      </c>
      <c r="BD183" s="1102">
        <v>16</v>
      </c>
      <c r="BE183" s="1102">
        <v>36</v>
      </c>
      <c r="BF183" s="1102">
        <v>936</v>
      </c>
      <c r="BG183" s="1102" t="s">
        <v>85</v>
      </c>
      <c r="BH183" s="1102" t="s">
        <v>109</v>
      </c>
    </row>
    <row r="184" spans="1:60">
      <c r="A184" s="1102" t="s">
        <v>978</v>
      </c>
      <c r="B184" s="1102" t="s">
        <v>61</v>
      </c>
      <c r="C184" s="1102" t="s">
        <v>963</v>
      </c>
      <c r="D184" s="1102" t="s">
        <v>63</v>
      </c>
      <c r="E184" s="1102" t="s">
        <v>64</v>
      </c>
      <c r="F184" s="1102" t="s">
        <v>100</v>
      </c>
      <c r="G184" s="1102" t="s">
        <v>66</v>
      </c>
      <c r="H184" s="1102" t="s">
        <v>67</v>
      </c>
      <c r="I184" s="1102" t="s">
        <v>68</v>
      </c>
      <c r="J184" s="1102" t="s">
        <v>979</v>
      </c>
      <c r="K184" s="1102" t="s">
        <v>980</v>
      </c>
      <c r="M184" s="1102" t="s">
        <v>68</v>
      </c>
      <c r="N184" s="1102" t="s">
        <v>68</v>
      </c>
      <c r="O184" s="1102" t="s">
        <v>70</v>
      </c>
      <c r="P184" s="1102" t="s">
        <v>965</v>
      </c>
      <c r="Q184" s="1102" t="s">
        <v>966</v>
      </c>
      <c r="R184" s="1102" t="s">
        <v>73</v>
      </c>
      <c r="S184" s="1102" t="s">
        <v>967</v>
      </c>
      <c r="T184" s="1102">
        <v>455</v>
      </c>
      <c r="U184" s="1102">
        <v>2808</v>
      </c>
      <c r="V184" s="1102">
        <v>1.2776400000000001</v>
      </c>
      <c r="W184" s="1102">
        <v>78</v>
      </c>
      <c r="X184" s="1102">
        <v>3</v>
      </c>
      <c r="Y184" s="1102" t="s">
        <v>75</v>
      </c>
      <c r="Z184" s="1102" t="s">
        <v>75</v>
      </c>
      <c r="AB184" s="1103">
        <v>46043</v>
      </c>
      <c r="AC184" s="1102">
        <v>4</v>
      </c>
      <c r="AD184" s="1102" t="s">
        <v>981</v>
      </c>
      <c r="AF184" s="1102" t="s">
        <v>77</v>
      </c>
      <c r="AG184" s="1102" t="s">
        <v>61</v>
      </c>
      <c r="AH184" s="1102" t="s">
        <v>105</v>
      </c>
      <c r="AI184" s="1103">
        <v>46054</v>
      </c>
      <c r="AJ184" s="1103">
        <v>46054</v>
      </c>
      <c r="AK184" s="1103">
        <v>46055</v>
      </c>
      <c r="AL184" s="1103">
        <v>46094</v>
      </c>
      <c r="AM184" s="1103">
        <v>46109</v>
      </c>
      <c r="AN184" s="1103">
        <v>46118</v>
      </c>
      <c r="AO184" s="1102" t="s">
        <v>66</v>
      </c>
      <c r="AP184" s="1102" t="s">
        <v>580</v>
      </c>
      <c r="AQ184" s="1102" t="s">
        <v>80</v>
      </c>
      <c r="AR184" s="1102" t="s">
        <v>982</v>
      </c>
      <c r="AS184" s="1102" t="s">
        <v>983</v>
      </c>
      <c r="AT184" s="1102" t="s">
        <v>983</v>
      </c>
      <c r="AU184" s="1102">
        <v>63</v>
      </c>
      <c r="AW184" s="1103">
        <v>46118</v>
      </c>
      <c r="AX184" s="1102" t="s">
        <v>973</v>
      </c>
      <c r="AY184" s="1103">
        <v>46128</v>
      </c>
      <c r="AZ184" s="1102">
        <v>7</v>
      </c>
      <c r="BA184" s="1103">
        <v>46125</v>
      </c>
      <c r="BB184" s="1102">
        <v>2026</v>
      </c>
      <c r="BC184" s="1102">
        <v>4</v>
      </c>
      <c r="BD184" s="1102">
        <v>16</v>
      </c>
      <c r="BE184" s="1102">
        <v>36</v>
      </c>
      <c r="BF184" s="1102">
        <v>936</v>
      </c>
      <c r="BG184" s="1102" t="s">
        <v>85</v>
      </c>
      <c r="BH184" s="1102" t="s">
        <v>109</v>
      </c>
    </row>
    <row r="185" spans="1:60">
      <c r="A185" s="1102" t="s">
        <v>984</v>
      </c>
      <c r="B185" s="1102" t="s">
        <v>61</v>
      </c>
      <c r="C185" s="1102" t="s">
        <v>985</v>
      </c>
      <c r="D185" s="1102" t="s">
        <v>63</v>
      </c>
      <c r="E185" s="1102" t="s">
        <v>64</v>
      </c>
      <c r="F185" s="1102" t="s">
        <v>100</v>
      </c>
      <c r="G185" s="1102" t="s">
        <v>66</v>
      </c>
      <c r="H185" s="1102" t="s">
        <v>67</v>
      </c>
      <c r="I185" s="1102" t="s">
        <v>68</v>
      </c>
      <c r="J185" s="1102" t="s">
        <v>578</v>
      </c>
      <c r="M185" s="1102" t="s">
        <v>68</v>
      </c>
      <c r="N185" s="1102" t="s">
        <v>68</v>
      </c>
      <c r="O185" s="1102" t="s">
        <v>70</v>
      </c>
      <c r="P185" s="1102" t="s">
        <v>195</v>
      </c>
      <c r="Q185" s="1102" t="s">
        <v>196</v>
      </c>
      <c r="R185" s="1102" t="s">
        <v>73</v>
      </c>
      <c r="S185" s="1102" t="s">
        <v>967</v>
      </c>
      <c r="T185" s="1102">
        <v>450</v>
      </c>
      <c r="U185" s="1102">
        <v>1872</v>
      </c>
      <c r="V185" s="1102">
        <v>0.84240000000000004</v>
      </c>
      <c r="W185" s="1102">
        <v>52</v>
      </c>
      <c r="X185" s="1102">
        <v>2</v>
      </c>
      <c r="Y185" s="1102" t="s">
        <v>75</v>
      </c>
      <c r="Z185" s="1102" t="s">
        <v>75</v>
      </c>
      <c r="AA185" s="1102" t="s">
        <v>986</v>
      </c>
      <c r="AB185" s="1103">
        <v>46043</v>
      </c>
      <c r="AC185" s="1102">
        <v>4</v>
      </c>
      <c r="AD185" s="1102" t="s">
        <v>987</v>
      </c>
      <c r="AF185" s="1102" t="s">
        <v>77</v>
      </c>
      <c r="AG185" s="1102" t="s">
        <v>61</v>
      </c>
      <c r="AH185" s="1102" t="s">
        <v>105</v>
      </c>
      <c r="AI185" s="1103">
        <v>46054</v>
      </c>
      <c r="AJ185" s="1103">
        <v>46054</v>
      </c>
      <c r="AK185" s="1103">
        <v>46055</v>
      </c>
      <c r="AL185" s="1103">
        <v>46094</v>
      </c>
      <c r="AM185" s="1103">
        <v>46116</v>
      </c>
      <c r="AN185" s="1103">
        <v>46118</v>
      </c>
      <c r="AO185" s="1102" t="s">
        <v>66</v>
      </c>
      <c r="AP185" s="1102" t="s">
        <v>580</v>
      </c>
      <c r="AQ185" s="1102" t="s">
        <v>80</v>
      </c>
      <c r="AR185" s="1102" t="s">
        <v>988</v>
      </c>
      <c r="AS185" s="1102" t="s">
        <v>989</v>
      </c>
      <c r="AT185" s="1102" t="s">
        <v>989</v>
      </c>
      <c r="AU185" s="1102">
        <v>63</v>
      </c>
      <c r="AW185" s="1103">
        <v>46118</v>
      </c>
      <c r="AX185" s="1102" t="s">
        <v>973</v>
      </c>
      <c r="AY185" s="1103">
        <v>46128</v>
      </c>
      <c r="AZ185" s="1102">
        <v>7</v>
      </c>
      <c r="BA185" s="1103">
        <v>46125</v>
      </c>
      <c r="BB185" s="1102">
        <v>2026</v>
      </c>
      <c r="BC185" s="1102">
        <v>4</v>
      </c>
      <c r="BD185" s="1102">
        <v>16</v>
      </c>
      <c r="BE185" s="1102">
        <v>36</v>
      </c>
      <c r="BF185" s="1102">
        <v>936</v>
      </c>
      <c r="BG185" s="1102" t="s">
        <v>85</v>
      </c>
      <c r="BH185" s="1102" t="s">
        <v>109</v>
      </c>
    </row>
    <row r="186" spans="1:60">
      <c r="A186" s="1102" t="s">
        <v>990</v>
      </c>
      <c r="B186" s="1102" t="s">
        <v>111</v>
      </c>
      <c r="C186" s="1102" t="s">
        <v>991</v>
      </c>
      <c r="D186" s="1102" t="s">
        <v>63</v>
      </c>
      <c r="E186" s="1102" t="s">
        <v>64</v>
      </c>
      <c r="F186" s="1102" t="s">
        <v>100</v>
      </c>
      <c r="G186" s="1102" t="s">
        <v>402</v>
      </c>
      <c r="H186" s="1102" t="s">
        <v>67</v>
      </c>
      <c r="I186" s="1102" t="s">
        <v>68</v>
      </c>
      <c r="J186" s="1102" t="s">
        <v>101</v>
      </c>
      <c r="M186" s="1102" t="s">
        <v>68</v>
      </c>
      <c r="N186" s="1102">
        <v>46048</v>
      </c>
      <c r="O186" s="1102" t="s">
        <v>132</v>
      </c>
      <c r="P186" s="1102" t="s">
        <v>133</v>
      </c>
      <c r="Q186" s="1102" t="s">
        <v>134</v>
      </c>
      <c r="R186" s="1102" t="s">
        <v>73</v>
      </c>
      <c r="S186" s="1102" t="s">
        <v>992</v>
      </c>
      <c r="T186" s="1102">
        <v>720</v>
      </c>
      <c r="U186" s="1102">
        <v>2376</v>
      </c>
      <c r="V186" s="1102">
        <v>1.71072</v>
      </c>
      <c r="W186" s="1102">
        <v>72</v>
      </c>
      <c r="X186" s="1102">
        <v>4</v>
      </c>
      <c r="Y186" s="1102" t="s">
        <v>75</v>
      </c>
      <c r="Z186" s="1102" t="s">
        <v>75</v>
      </c>
      <c r="AB186" s="1103">
        <v>46057</v>
      </c>
      <c r="AC186" s="1102">
        <v>6</v>
      </c>
      <c r="AD186" s="1102" t="s">
        <v>993</v>
      </c>
      <c r="AF186" s="1102" t="s">
        <v>122</v>
      </c>
      <c r="AG186" s="1102" t="s">
        <v>123</v>
      </c>
      <c r="AH186" s="1102" t="s">
        <v>105</v>
      </c>
      <c r="AI186" s="1103">
        <v>46062</v>
      </c>
      <c r="AJ186" s="1103">
        <v>46067</v>
      </c>
      <c r="AK186" s="1103">
        <v>46069</v>
      </c>
      <c r="AL186" s="1103">
        <v>46099</v>
      </c>
      <c r="AM186" s="1103">
        <v>46126</v>
      </c>
      <c r="AN186" s="1103">
        <v>46127</v>
      </c>
      <c r="AO186" s="1102" t="s">
        <v>402</v>
      </c>
      <c r="AP186" s="1102" t="s">
        <v>731</v>
      </c>
      <c r="AQ186" s="1102" t="s">
        <v>80</v>
      </c>
      <c r="AR186" s="1102" t="s">
        <v>732</v>
      </c>
      <c r="AS186" s="1102" t="s">
        <v>733</v>
      </c>
      <c r="AT186" s="1102" t="s">
        <v>733</v>
      </c>
      <c r="AU186" s="1102">
        <v>58</v>
      </c>
      <c r="AW186" s="1103">
        <v>46127</v>
      </c>
      <c r="AX186" s="1102" t="s">
        <v>973</v>
      </c>
      <c r="AY186" s="1103">
        <v>46133</v>
      </c>
      <c r="AZ186" s="1102">
        <v>7</v>
      </c>
      <c r="BA186" s="1103">
        <v>46134</v>
      </c>
      <c r="BB186" s="1102">
        <v>2026</v>
      </c>
      <c r="BC186" s="1102">
        <v>4</v>
      </c>
      <c r="BD186" s="1102">
        <v>17</v>
      </c>
      <c r="BE186" s="1102">
        <v>33</v>
      </c>
      <c r="BF186" s="1102">
        <v>594</v>
      </c>
      <c r="BG186" s="1102" t="s">
        <v>108</v>
      </c>
      <c r="BH186" s="1102" t="s">
        <v>109</v>
      </c>
    </row>
    <row r="187" spans="1:60">
      <c r="A187" s="1102" t="s">
        <v>994</v>
      </c>
      <c r="B187" s="1102" t="s">
        <v>111</v>
      </c>
      <c r="C187" s="1102" t="s">
        <v>991</v>
      </c>
      <c r="D187" s="1102" t="s">
        <v>63</v>
      </c>
      <c r="E187" s="1102" t="s">
        <v>64</v>
      </c>
      <c r="F187" s="1102" t="s">
        <v>100</v>
      </c>
      <c r="G187" s="1102" t="s">
        <v>402</v>
      </c>
      <c r="H187" s="1102" t="s">
        <v>67</v>
      </c>
      <c r="I187" s="1102" t="s">
        <v>68</v>
      </c>
      <c r="J187" s="1102" t="s">
        <v>995</v>
      </c>
      <c r="M187" s="1102" t="s">
        <v>68</v>
      </c>
      <c r="N187" s="1102">
        <v>46048</v>
      </c>
      <c r="O187" s="1102" t="s">
        <v>132</v>
      </c>
      <c r="P187" s="1102" t="s">
        <v>133</v>
      </c>
      <c r="Q187" s="1102" t="s">
        <v>134</v>
      </c>
      <c r="R187" s="1102" t="s">
        <v>73</v>
      </c>
      <c r="S187" s="1102" t="s">
        <v>992</v>
      </c>
      <c r="T187" s="1102">
        <v>720</v>
      </c>
      <c r="U187" s="1102">
        <v>5940</v>
      </c>
      <c r="V187" s="1102">
        <v>4.2767999999999997</v>
      </c>
      <c r="W187" s="1102">
        <v>180</v>
      </c>
      <c r="X187" s="1102">
        <v>10</v>
      </c>
      <c r="Y187" s="1102" t="s">
        <v>75</v>
      </c>
      <c r="Z187" s="1102" t="s">
        <v>75</v>
      </c>
      <c r="AB187" s="1103">
        <v>46055</v>
      </c>
      <c r="AC187" s="1102">
        <v>6</v>
      </c>
      <c r="AD187" s="1102" t="s">
        <v>996</v>
      </c>
      <c r="AF187" s="1102" t="s">
        <v>122</v>
      </c>
      <c r="AG187" s="1102" t="s">
        <v>123</v>
      </c>
      <c r="AH187" s="1102" t="s">
        <v>105</v>
      </c>
      <c r="AI187" s="1103">
        <v>46063</v>
      </c>
      <c r="AJ187" s="1103">
        <v>46069</v>
      </c>
      <c r="AK187" s="1103">
        <v>46069</v>
      </c>
      <c r="AL187" s="1103">
        <v>46102</v>
      </c>
      <c r="AM187" s="1103">
        <v>46126</v>
      </c>
      <c r="AN187" s="1103">
        <v>46127</v>
      </c>
      <c r="AO187" s="1102" t="s">
        <v>402</v>
      </c>
      <c r="AP187" s="1102" t="s">
        <v>997</v>
      </c>
      <c r="AQ187" s="1102" t="s">
        <v>80</v>
      </c>
      <c r="AR187" s="1102" t="s">
        <v>998</v>
      </c>
      <c r="AS187" s="1102" t="s">
        <v>999</v>
      </c>
      <c r="AT187" s="1102" t="s">
        <v>999</v>
      </c>
      <c r="AU187" s="1102">
        <v>58</v>
      </c>
      <c r="AW187" s="1103">
        <v>46127</v>
      </c>
      <c r="AX187" s="1102" t="s">
        <v>973</v>
      </c>
      <c r="AY187" s="1103">
        <v>46133</v>
      </c>
      <c r="AZ187" s="1102">
        <v>7</v>
      </c>
      <c r="BA187" s="1103">
        <v>46134</v>
      </c>
      <c r="BB187" s="1102">
        <v>2026</v>
      </c>
      <c r="BC187" s="1102">
        <v>4</v>
      </c>
      <c r="BD187" s="1102">
        <v>17</v>
      </c>
      <c r="BE187" s="1102">
        <v>33</v>
      </c>
      <c r="BF187" s="1102">
        <v>594</v>
      </c>
      <c r="BG187" s="1102" t="s">
        <v>108</v>
      </c>
      <c r="BH187" s="1102" t="s">
        <v>109</v>
      </c>
    </row>
    <row r="188" spans="1:60">
      <c r="A188" s="1102" t="s">
        <v>1000</v>
      </c>
      <c r="B188" s="1102" t="s">
        <v>111</v>
      </c>
      <c r="C188" s="1102" t="s">
        <v>203</v>
      </c>
      <c r="D188" s="1102" t="s">
        <v>63</v>
      </c>
      <c r="E188" s="1102" t="s">
        <v>64</v>
      </c>
      <c r="F188" s="1102" t="s">
        <v>100</v>
      </c>
      <c r="G188" s="1102" t="s">
        <v>402</v>
      </c>
      <c r="H188" s="1102" t="s">
        <v>67</v>
      </c>
      <c r="I188" s="1102" t="s">
        <v>68</v>
      </c>
      <c r="J188" s="1102" t="s">
        <v>1001</v>
      </c>
      <c r="M188" s="1102" t="s">
        <v>68</v>
      </c>
      <c r="N188" s="1102">
        <v>46045</v>
      </c>
      <c r="O188" s="1102" t="s">
        <v>70</v>
      </c>
      <c r="P188" s="1102" t="s">
        <v>1002</v>
      </c>
      <c r="Q188" s="1102" t="s">
        <v>330</v>
      </c>
      <c r="R188" s="1102" t="s">
        <v>73</v>
      </c>
      <c r="S188" s="1102" t="s">
        <v>992</v>
      </c>
      <c r="T188" s="1102">
        <v>625</v>
      </c>
      <c r="U188" s="1102">
        <v>7920</v>
      </c>
      <c r="V188" s="1102">
        <v>4.95</v>
      </c>
      <c r="W188" s="1102">
        <v>220</v>
      </c>
      <c r="X188" s="1102">
        <v>11</v>
      </c>
      <c r="Y188" s="1102" t="s">
        <v>75</v>
      </c>
      <c r="Z188" s="1102" t="s">
        <v>75</v>
      </c>
      <c r="AB188" s="1103">
        <v>46054</v>
      </c>
      <c r="AC188" s="1102">
        <v>5</v>
      </c>
      <c r="AD188" s="1102" t="s">
        <v>1003</v>
      </c>
      <c r="AF188" s="1102" t="s">
        <v>122</v>
      </c>
      <c r="AG188" s="1102" t="s">
        <v>123</v>
      </c>
      <c r="AH188" s="1102" t="s">
        <v>105</v>
      </c>
      <c r="AI188" s="1103">
        <v>46063</v>
      </c>
      <c r="AJ188" s="1103">
        <v>46066</v>
      </c>
      <c r="AK188" s="1103">
        <v>46065</v>
      </c>
      <c r="AL188" s="1103">
        <v>46098</v>
      </c>
      <c r="AM188" s="1103">
        <v>46109</v>
      </c>
      <c r="AN188" s="1103">
        <v>46109</v>
      </c>
      <c r="AO188" s="1102" t="s">
        <v>402</v>
      </c>
      <c r="AP188" s="1102" t="s">
        <v>694</v>
      </c>
      <c r="AQ188" s="1102" t="s">
        <v>80</v>
      </c>
      <c r="AR188" s="1102" t="s">
        <v>1004</v>
      </c>
      <c r="AS188" s="1102" t="s">
        <v>1005</v>
      </c>
      <c r="AT188" s="1102" t="s">
        <v>1005</v>
      </c>
      <c r="AU188" s="1102">
        <v>44</v>
      </c>
      <c r="AW188" s="1103">
        <v>46109</v>
      </c>
      <c r="AX188" s="1102" t="s">
        <v>973</v>
      </c>
      <c r="AY188" s="1103">
        <v>46124</v>
      </c>
      <c r="AZ188" s="1102">
        <v>7</v>
      </c>
      <c r="BA188" s="1103">
        <v>46116</v>
      </c>
      <c r="BB188" s="1102">
        <v>2026</v>
      </c>
      <c r="BC188" s="1102">
        <v>4</v>
      </c>
      <c r="BD188" s="1102">
        <v>14</v>
      </c>
      <c r="BE188" s="1102">
        <v>36</v>
      </c>
      <c r="BF188" s="1102">
        <v>720</v>
      </c>
      <c r="BG188" s="1102" t="s">
        <v>128</v>
      </c>
      <c r="BH188" s="1102" t="s">
        <v>109</v>
      </c>
    </row>
    <row r="189" spans="1:60">
      <c r="A189" s="1102" t="s">
        <v>1006</v>
      </c>
      <c r="B189" s="1102" t="s">
        <v>111</v>
      </c>
      <c r="C189" s="1102" t="s">
        <v>1007</v>
      </c>
      <c r="D189" s="1102" t="s">
        <v>63</v>
      </c>
      <c r="E189" s="1102" t="s">
        <v>64</v>
      </c>
      <c r="F189" s="1102" t="s">
        <v>65</v>
      </c>
      <c r="G189" s="1102" t="s">
        <v>402</v>
      </c>
      <c r="H189" s="1102" t="s">
        <v>67</v>
      </c>
      <c r="I189" s="1102" t="s">
        <v>68</v>
      </c>
      <c r="J189" s="1102" t="s">
        <v>1008</v>
      </c>
      <c r="M189" s="1102" t="s">
        <v>68</v>
      </c>
      <c r="N189" s="1102">
        <v>46045</v>
      </c>
      <c r="O189" s="1102" t="s">
        <v>70</v>
      </c>
      <c r="P189" s="1102" t="s">
        <v>102</v>
      </c>
      <c r="Q189" s="1102" t="s">
        <v>103</v>
      </c>
      <c r="R189" s="1102" t="s">
        <v>73</v>
      </c>
      <c r="S189" s="1102" t="s">
        <v>967</v>
      </c>
      <c r="T189" s="1102">
        <v>620</v>
      </c>
      <c r="U189" s="1102">
        <v>1440</v>
      </c>
      <c r="V189" s="1102">
        <v>0.89280000000000004</v>
      </c>
      <c r="W189" s="1102">
        <v>40</v>
      </c>
      <c r="X189" s="1102">
        <v>2</v>
      </c>
      <c r="Y189" s="1102" t="s">
        <v>75</v>
      </c>
      <c r="Z189" s="1102" t="s">
        <v>75</v>
      </c>
      <c r="AB189" s="1103">
        <v>46054</v>
      </c>
      <c r="AC189" s="1102">
        <v>5</v>
      </c>
      <c r="AD189" s="1102" t="s">
        <v>1009</v>
      </c>
      <c r="AF189" s="1102" t="s">
        <v>122</v>
      </c>
      <c r="AG189" s="1102" t="s">
        <v>123</v>
      </c>
      <c r="AH189" s="1102" t="s">
        <v>78</v>
      </c>
      <c r="AI189" s="1103">
        <v>46063</v>
      </c>
      <c r="AJ189" s="1103">
        <v>46065</v>
      </c>
      <c r="AK189" s="1103">
        <v>46078</v>
      </c>
      <c r="AL189" s="1103">
        <v>46101</v>
      </c>
      <c r="AM189" s="1103">
        <v>46136</v>
      </c>
      <c r="AN189" s="1103">
        <v>46137</v>
      </c>
      <c r="AO189" s="1102" t="s">
        <v>402</v>
      </c>
      <c r="AP189" s="1102" t="s">
        <v>739</v>
      </c>
      <c r="AQ189" s="1102" t="s">
        <v>80</v>
      </c>
      <c r="AR189" s="1102" t="s">
        <v>740</v>
      </c>
      <c r="AS189" s="1102" t="s">
        <v>741</v>
      </c>
      <c r="AT189" s="1102" t="s">
        <v>741</v>
      </c>
      <c r="AU189" s="1102">
        <v>59</v>
      </c>
      <c r="AW189" s="1103">
        <v>46137</v>
      </c>
      <c r="AX189" s="1102" t="s">
        <v>973</v>
      </c>
      <c r="AY189" s="1103">
        <v>46149</v>
      </c>
      <c r="AZ189" s="1102">
        <v>8</v>
      </c>
      <c r="BA189" s="1103">
        <v>46145</v>
      </c>
      <c r="BB189" s="1102">
        <v>2026</v>
      </c>
      <c r="BC189" s="1102">
        <v>5</v>
      </c>
      <c r="BD189" s="1102">
        <v>18</v>
      </c>
      <c r="BE189" s="1102">
        <v>36</v>
      </c>
      <c r="BF189" s="1102">
        <v>720</v>
      </c>
      <c r="BG189" s="1102" t="s">
        <v>108</v>
      </c>
      <c r="BH189" s="1102" t="s">
        <v>86</v>
      </c>
    </row>
    <row r="190" spans="1:60">
      <c r="A190" s="1102" t="s">
        <v>985</v>
      </c>
      <c r="B190" s="1102" t="s">
        <v>61</v>
      </c>
      <c r="C190" s="1102" t="s">
        <v>203</v>
      </c>
      <c r="D190" s="1102" t="s">
        <v>63</v>
      </c>
      <c r="E190" s="1102" t="s">
        <v>64</v>
      </c>
      <c r="F190" s="1102" t="s">
        <v>100</v>
      </c>
      <c r="G190" s="1102" t="s">
        <v>402</v>
      </c>
      <c r="H190" s="1102" t="s">
        <v>67</v>
      </c>
      <c r="I190" s="1102" t="s">
        <v>68</v>
      </c>
      <c r="J190" s="1102" t="s">
        <v>293</v>
      </c>
      <c r="M190" s="1102" t="s">
        <v>68</v>
      </c>
      <c r="N190" s="1102">
        <v>46055</v>
      </c>
      <c r="O190" s="1102" t="s">
        <v>70</v>
      </c>
      <c r="P190" s="1102" t="s">
        <v>195</v>
      </c>
      <c r="Q190" s="1102" t="s">
        <v>196</v>
      </c>
      <c r="R190" s="1102" t="s">
        <v>73</v>
      </c>
      <c r="S190" s="1102" t="s">
        <v>967</v>
      </c>
      <c r="T190" s="1102">
        <v>450</v>
      </c>
      <c r="U190" s="1102">
        <v>936</v>
      </c>
      <c r="V190" s="1102">
        <v>0.42120000000000002</v>
      </c>
      <c r="W190" s="1102">
        <v>26</v>
      </c>
      <c r="X190" s="1102">
        <v>1</v>
      </c>
      <c r="Y190" s="1102" t="s">
        <v>75</v>
      </c>
      <c r="Z190" s="1102" t="s">
        <v>75</v>
      </c>
      <c r="AB190" s="1103">
        <v>46055</v>
      </c>
      <c r="AC190" s="1102">
        <v>6</v>
      </c>
      <c r="AD190" s="1102" t="s">
        <v>1010</v>
      </c>
      <c r="AF190" s="1102" t="s">
        <v>77</v>
      </c>
      <c r="AG190" s="1102" t="s">
        <v>61</v>
      </c>
      <c r="AH190" s="1102" t="s">
        <v>105</v>
      </c>
      <c r="AI190" s="1103">
        <v>46066</v>
      </c>
      <c r="AJ190" s="1103">
        <v>46065</v>
      </c>
      <c r="AK190" s="1103">
        <v>46065</v>
      </c>
      <c r="AL190" s="1103">
        <v>46119</v>
      </c>
      <c r="AM190" s="1103">
        <v>46141</v>
      </c>
      <c r="AN190" s="1103">
        <v>46137</v>
      </c>
      <c r="AO190" s="1102" t="s">
        <v>402</v>
      </c>
      <c r="AP190" s="1102" t="s">
        <v>771</v>
      </c>
      <c r="AQ190" s="1102" t="s">
        <v>80</v>
      </c>
      <c r="AR190" s="1102" t="s">
        <v>772</v>
      </c>
      <c r="AS190" s="1102" t="s">
        <v>773</v>
      </c>
      <c r="AT190" s="1102" t="s">
        <v>773</v>
      </c>
      <c r="AU190" s="1102">
        <v>72</v>
      </c>
      <c r="AW190" s="1103">
        <v>46137</v>
      </c>
      <c r="AX190" s="1102" t="s">
        <v>973</v>
      </c>
      <c r="AY190" s="1103">
        <v>46149</v>
      </c>
      <c r="AZ190" s="1102">
        <v>7</v>
      </c>
      <c r="BA190" s="1103">
        <v>46144</v>
      </c>
      <c r="BB190" s="1102">
        <v>2026</v>
      </c>
      <c r="BC190" s="1102">
        <v>5</v>
      </c>
      <c r="BD190" s="1102">
        <v>18</v>
      </c>
      <c r="BE190" s="1102">
        <v>36</v>
      </c>
      <c r="BF190" s="1102">
        <v>936</v>
      </c>
      <c r="BG190" s="1102" t="s">
        <v>85</v>
      </c>
      <c r="BH190" s="1102" t="s">
        <v>109</v>
      </c>
    </row>
    <row r="191" spans="1:60">
      <c r="A191" s="1102" t="s">
        <v>1011</v>
      </c>
      <c r="B191" s="1102" t="s">
        <v>61</v>
      </c>
      <c r="C191" s="1102" t="s">
        <v>963</v>
      </c>
      <c r="D191" s="1102" t="s">
        <v>63</v>
      </c>
      <c r="E191" s="1102" t="s">
        <v>64</v>
      </c>
      <c r="F191" s="1102" t="s">
        <v>100</v>
      </c>
      <c r="G191" s="1102" t="s">
        <v>402</v>
      </c>
      <c r="H191" s="1102" t="s">
        <v>67</v>
      </c>
      <c r="I191" s="1102" t="s">
        <v>68</v>
      </c>
      <c r="J191" s="1102" t="s">
        <v>293</v>
      </c>
      <c r="M191" s="1102" t="s">
        <v>68</v>
      </c>
      <c r="N191" s="1102">
        <v>46055</v>
      </c>
      <c r="O191" s="1102" t="s">
        <v>70</v>
      </c>
      <c r="P191" s="1102" t="s">
        <v>965</v>
      </c>
      <c r="Q191" s="1102" t="s">
        <v>966</v>
      </c>
      <c r="R191" s="1102" t="s">
        <v>73</v>
      </c>
      <c r="S191" s="1102" t="s">
        <v>967</v>
      </c>
      <c r="T191" s="1102">
        <v>455</v>
      </c>
      <c r="U191" s="1102">
        <v>936</v>
      </c>
      <c r="V191" s="1102">
        <v>0.42587999999999998</v>
      </c>
      <c r="W191" s="1102">
        <v>26</v>
      </c>
      <c r="X191" s="1102">
        <v>1</v>
      </c>
      <c r="Y191" s="1102" t="s">
        <v>75</v>
      </c>
      <c r="Z191" s="1102" t="s">
        <v>75</v>
      </c>
      <c r="AB191" s="1103">
        <v>46055</v>
      </c>
      <c r="AC191" s="1102">
        <v>6</v>
      </c>
      <c r="AD191" s="1102" t="s">
        <v>1012</v>
      </c>
      <c r="AF191" s="1102" t="s">
        <v>77</v>
      </c>
      <c r="AG191" s="1102" t="s">
        <v>61</v>
      </c>
      <c r="AH191" s="1102" t="s">
        <v>105</v>
      </c>
      <c r="AI191" s="1103">
        <v>46066</v>
      </c>
      <c r="AJ191" s="1103">
        <v>46065</v>
      </c>
      <c r="AK191" s="1103">
        <v>46065</v>
      </c>
      <c r="AL191" s="1103">
        <v>46119</v>
      </c>
      <c r="AM191" s="1103">
        <v>46141</v>
      </c>
      <c r="AN191" s="1103">
        <v>46137</v>
      </c>
      <c r="AO191" s="1102" t="s">
        <v>402</v>
      </c>
      <c r="AP191" s="1102" t="s">
        <v>771</v>
      </c>
      <c r="AQ191" s="1102" t="s">
        <v>80</v>
      </c>
      <c r="AR191" s="1102" t="s">
        <v>772</v>
      </c>
      <c r="AS191" s="1102" t="s">
        <v>773</v>
      </c>
      <c r="AT191" s="1102" t="s">
        <v>773</v>
      </c>
      <c r="AU191" s="1102">
        <v>72</v>
      </c>
      <c r="AW191" s="1103">
        <v>46137</v>
      </c>
      <c r="AX191" s="1102" t="s">
        <v>973</v>
      </c>
      <c r="AY191" s="1103">
        <v>46147</v>
      </c>
      <c r="AZ191" s="1102">
        <v>7</v>
      </c>
      <c r="BA191" s="1103">
        <v>46144</v>
      </c>
      <c r="BB191" s="1102">
        <v>2026</v>
      </c>
      <c r="BC191" s="1102">
        <v>5</v>
      </c>
      <c r="BD191" s="1102">
        <v>18</v>
      </c>
      <c r="BE191" s="1102">
        <v>36</v>
      </c>
      <c r="BF191" s="1102">
        <v>936</v>
      </c>
      <c r="BG191" s="1102" t="s">
        <v>85</v>
      </c>
      <c r="BH191" s="1102" t="s">
        <v>109</v>
      </c>
    </row>
    <row r="192" spans="1:60">
      <c r="A192" s="1102" t="s">
        <v>1013</v>
      </c>
      <c r="B192" s="1102" t="s">
        <v>61</v>
      </c>
      <c r="C192" s="1102" t="s">
        <v>963</v>
      </c>
      <c r="D192" s="1102" t="s">
        <v>63</v>
      </c>
      <c r="E192" s="1102" t="s">
        <v>64</v>
      </c>
      <c r="F192" s="1102" t="s">
        <v>100</v>
      </c>
      <c r="G192" s="1102" t="s">
        <v>402</v>
      </c>
      <c r="H192" s="1102" t="s">
        <v>67</v>
      </c>
      <c r="I192" s="1102" t="s">
        <v>68</v>
      </c>
      <c r="J192" s="1102" t="s">
        <v>419</v>
      </c>
      <c r="M192" s="1102" t="s">
        <v>68</v>
      </c>
      <c r="N192" s="1102">
        <v>46055</v>
      </c>
      <c r="O192" s="1102" t="s">
        <v>70</v>
      </c>
      <c r="P192" s="1102" t="s">
        <v>965</v>
      </c>
      <c r="Q192" s="1102" t="s">
        <v>966</v>
      </c>
      <c r="R192" s="1102" t="s">
        <v>73</v>
      </c>
      <c r="S192" s="1102" t="s">
        <v>967</v>
      </c>
      <c r="T192" s="1102">
        <v>455</v>
      </c>
      <c r="U192" s="1102">
        <v>2808</v>
      </c>
      <c r="V192" s="1102">
        <v>1.2776400000000001</v>
      </c>
      <c r="W192" s="1102">
        <v>78</v>
      </c>
      <c r="X192" s="1102">
        <v>3</v>
      </c>
      <c r="Y192" s="1102" t="s">
        <v>75</v>
      </c>
      <c r="Z192" s="1102" t="s">
        <v>75</v>
      </c>
      <c r="AB192" s="1103">
        <v>46058</v>
      </c>
      <c r="AC192" s="1102">
        <v>6</v>
      </c>
      <c r="AD192" s="1102" t="s">
        <v>1014</v>
      </c>
      <c r="AF192" s="1102" t="s">
        <v>77</v>
      </c>
      <c r="AG192" s="1102" t="s">
        <v>61</v>
      </c>
      <c r="AH192" s="1102" t="s">
        <v>105</v>
      </c>
      <c r="AI192" s="1103">
        <v>46066</v>
      </c>
      <c r="AJ192" s="1103">
        <v>46065</v>
      </c>
      <c r="AK192" s="1103">
        <v>46065</v>
      </c>
      <c r="AL192" s="1103">
        <v>46119</v>
      </c>
      <c r="AM192" s="1103">
        <v>46141</v>
      </c>
      <c r="AN192" s="1103">
        <v>46137</v>
      </c>
      <c r="AO192" s="1102" t="s">
        <v>402</v>
      </c>
      <c r="AP192" s="1102" t="s">
        <v>771</v>
      </c>
      <c r="AQ192" s="1102" t="s">
        <v>80</v>
      </c>
      <c r="AR192" s="1102" t="s">
        <v>803</v>
      </c>
      <c r="AS192" s="1102" t="s">
        <v>804</v>
      </c>
      <c r="AT192" s="1102" t="s">
        <v>804</v>
      </c>
      <c r="AU192" s="1102">
        <v>72</v>
      </c>
      <c r="AW192" s="1103">
        <v>46137</v>
      </c>
      <c r="AX192" s="1102" t="s">
        <v>973</v>
      </c>
      <c r="AY192" s="1103">
        <v>46149</v>
      </c>
      <c r="AZ192" s="1102">
        <v>7</v>
      </c>
      <c r="BA192" s="1103">
        <v>46144</v>
      </c>
      <c r="BB192" s="1102">
        <v>2026</v>
      </c>
      <c r="BC192" s="1102">
        <v>5</v>
      </c>
      <c r="BD192" s="1102">
        <v>18</v>
      </c>
      <c r="BE192" s="1102">
        <v>36</v>
      </c>
      <c r="BF192" s="1102">
        <v>936</v>
      </c>
      <c r="BG192" s="1102" t="s">
        <v>85</v>
      </c>
      <c r="BH192" s="1102" t="s">
        <v>109</v>
      </c>
    </row>
    <row r="193" spans="1:60">
      <c r="A193" s="1102" t="s">
        <v>1015</v>
      </c>
      <c r="B193" s="1102" t="s">
        <v>61</v>
      </c>
      <c r="C193" s="1102" t="s">
        <v>1016</v>
      </c>
      <c r="D193" s="1102" t="s">
        <v>63</v>
      </c>
      <c r="E193" s="1102" t="s">
        <v>64</v>
      </c>
      <c r="F193" s="1102" t="s">
        <v>100</v>
      </c>
      <c r="G193" s="1102" t="s">
        <v>402</v>
      </c>
      <c r="H193" s="1102" t="s">
        <v>67</v>
      </c>
      <c r="I193" s="1102" t="s">
        <v>68</v>
      </c>
      <c r="J193" s="1102" t="s">
        <v>293</v>
      </c>
      <c r="M193" s="1102" t="s">
        <v>68</v>
      </c>
      <c r="N193" s="1102">
        <v>46055</v>
      </c>
      <c r="O193" s="1102" t="s">
        <v>70</v>
      </c>
      <c r="P193" s="1102" t="s">
        <v>195</v>
      </c>
      <c r="Q193" s="1102" t="s">
        <v>196</v>
      </c>
      <c r="R193" s="1102" t="s">
        <v>73</v>
      </c>
      <c r="S193" s="1102" t="s">
        <v>967</v>
      </c>
      <c r="T193" s="1102">
        <v>450</v>
      </c>
      <c r="U193" s="1102">
        <v>1872</v>
      </c>
      <c r="V193" s="1102">
        <v>0.84240000000000004</v>
      </c>
      <c r="W193" s="1102">
        <v>52</v>
      </c>
      <c r="X193" s="1102">
        <v>2</v>
      </c>
      <c r="Y193" s="1102" t="s">
        <v>75</v>
      </c>
      <c r="Z193" s="1102" t="s">
        <v>75</v>
      </c>
      <c r="AB193" s="1103">
        <v>46059</v>
      </c>
      <c r="AC193" s="1102">
        <v>6</v>
      </c>
      <c r="AD193" s="1102" t="s">
        <v>1017</v>
      </c>
      <c r="AF193" s="1102" t="s">
        <v>77</v>
      </c>
      <c r="AG193" s="1102" t="s">
        <v>61</v>
      </c>
      <c r="AH193" s="1102" t="s">
        <v>105</v>
      </c>
      <c r="AI193" s="1103">
        <v>46066</v>
      </c>
      <c r="AJ193" s="1103">
        <v>46065</v>
      </c>
      <c r="AK193" s="1103">
        <v>46065</v>
      </c>
      <c r="AL193" s="1103">
        <v>46119</v>
      </c>
      <c r="AM193" s="1103">
        <v>46141</v>
      </c>
      <c r="AN193" s="1103">
        <v>46137</v>
      </c>
      <c r="AO193" s="1102" t="s">
        <v>402</v>
      </c>
      <c r="AP193" s="1102" t="s">
        <v>771</v>
      </c>
      <c r="AQ193" s="1102" t="s">
        <v>80</v>
      </c>
      <c r="AR193" s="1102" t="s">
        <v>1018</v>
      </c>
      <c r="AS193" s="1102" t="s">
        <v>1019</v>
      </c>
      <c r="AT193" s="1102" t="s">
        <v>1019</v>
      </c>
      <c r="AU193" s="1102">
        <v>72</v>
      </c>
      <c r="AW193" s="1103">
        <v>46137</v>
      </c>
      <c r="AX193" s="1102" t="s">
        <v>973</v>
      </c>
      <c r="AY193" s="1103">
        <v>46149</v>
      </c>
      <c r="AZ193" s="1102">
        <v>7</v>
      </c>
      <c r="BA193" s="1103">
        <v>46144</v>
      </c>
      <c r="BB193" s="1102">
        <v>2026</v>
      </c>
      <c r="BC193" s="1102">
        <v>5</v>
      </c>
      <c r="BD193" s="1102">
        <v>18</v>
      </c>
      <c r="BE193" s="1102">
        <v>36</v>
      </c>
      <c r="BF193" s="1102">
        <v>936</v>
      </c>
      <c r="BG193" s="1102" t="s">
        <v>85</v>
      </c>
      <c r="BH193" s="1102" t="s">
        <v>109</v>
      </c>
    </row>
    <row r="194" spans="1:60">
      <c r="A194" s="1102" t="s">
        <v>1020</v>
      </c>
      <c r="B194" s="1102" t="s">
        <v>61</v>
      </c>
      <c r="C194" s="1102" t="s">
        <v>1021</v>
      </c>
      <c r="D194" s="1102" t="s">
        <v>63</v>
      </c>
      <c r="E194" s="1102" t="s">
        <v>64</v>
      </c>
      <c r="F194" s="1102" t="s">
        <v>100</v>
      </c>
      <c r="G194" s="1102" t="s">
        <v>402</v>
      </c>
      <c r="H194" s="1102" t="s">
        <v>67</v>
      </c>
      <c r="I194" s="1102" t="s">
        <v>68</v>
      </c>
      <c r="J194" s="1102" t="s">
        <v>293</v>
      </c>
      <c r="M194" s="1102" t="s">
        <v>68</v>
      </c>
      <c r="N194" s="1102">
        <v>46055</v>
      </c>
      <c r="O194" s="1102" t="s">
        <v>70</v>
      </c>
      <c r="P194" s="1102" t="s">
        <v>965</v>
      </c>
      <c r="Q194" s="1102" t="s">
        <v>966</v>
      </c>
      <c r="R194" s="1102" t="s">
        <v>73</v>
      </c>
      <c r="S194" s="1102" t="s">
        <v>967</v>
      </c>
      <c r="T194" s="1102">
        <v>455</v>
      </c>
      <c r="U194" s="1102">
        <v>7488</v>
      </c>
      <c r="V194" s="1102">
        <v>3.4070399999999998</v>
      </c>
      <c r="W194" s="1102">
        <v>208</v>
      </c>
      <c r="X194" s="1102">
        <v>8</v>
      </c>
      <c r="Y194" s="1102" t="s">
        <v>75</v>
      </c>
      <c r="Z194" s="1102" t="s">
        <v>75</v>
      </c>
      <c r="AB194" s="1103">
        <v>46059</v>
      </c>
      <c r="AC194" s="1102">
        <v>6</v>
      </c>
      <c r="AD194" s="1102" t="s">
        <v>1022</v>
      </c>
      <c r="AF194" s="1102" t="s">
        <v>77</v>
      </c>
      <c r="AG194" s="1102" t="s">
        <v>61</v>
      </c>
      <c r="AH194" s="1102" t="s">
        <v>105</v>
      </c>
      <c r="AI194" s="1103">
        <v>46066</v>
      </c>
      <c r="AJ194" s="1103">
        <v>46065</v>
      </c>
      <c r="AK194" s="1103">
        <v>46065</v>
      </c>
      <c r="AL194" s="1103">
        <v>46119</v>
      </c>
      <c r="AM194" s="1103">
        <v>46141</v>
      </c>
      <c r="AN194" s="1103">
        <v>46137</v>
      </c>
      <c r="AO194" s="1102" t="s">
        <v>402</v>
      </c>
      <c r="AP194" s="1102" t="s">
        <v>771</v>
      </c>
      <c r="AQ194" s="1102" t="s">
        <v>80</v>
      </c>
      <c r="AR194" s="1102" t="s">
        <v>1018</v>
      </c>
      <c r="AS194" s="1102" t="s">
        <v>1019</v>
      </c>
      <c r="AT194" s="1102" t="s">
        <v>1019</v>
      </c>
      <c r="AU194" s="1102">
        <v>72</v>
      </c>
      <c r="AW194" s="1103">
        <v>46137</v>
      </c>
      <c r="AX194" s="1102" t="s">
        <v>973</v>
      </c>
      <c r="AY194" s="1103">
        <v>46149</v>
      </c>
      <c r="AZ194" s="1102">
        <v>7</v>
      </c>
      <c r="BA194" s="1103">
        <v>46144</v>
      </c>
      <c r="BB194" s="1102">
        <v>2026</v>
      </c>
      <c r="BC194" s="1102">
        <v>5</v>
      </c>
      <c r="BD194" s="1102">
        <v>18</v>
      </c>
      <c r="BE194" s="1102">
        <v>36</v>
      </c>
      <c r="BF194" s="1102">
        <v>936</v>
      </c>
      <c r="BG194" s="1102" t="s">
        <v>85</v>
      </c>
      <c r="BH194" s="1102" t="s">
        <v>109</v>
      </c>
    </row>
    <row r="195" spans="1:60">
      <c r="A195" s="1102" t="s">
        <v>1023</v>
      </c>
      <c r="B195" s="1102" t="s">
        <v>61</v>
      </c>
      <c r="C195" s="1102" t="s">
        <v>1021</v>
      </c>
      <c r="D195" s="1102" t="s">
        <v>63</v>
      </c>
      <c r="E195" s="1102" t="s">
        <v>64</v>
      </c>
      <c r="F195" s="1102" t="s">
        <v>100</v>
      </c>
      <c r="G195" s="1102" t="s">
        <v>402</v>
      </c>
      <c r="H195" s="1102" t="s">
        <v>67</v>
      </c>
      <c r="I195" s="1102" t="s">
        <v>68</v>
      </c>
      <c r="J195" s="1102" t="s">
        <v>1024</v>
      </c>
      <c r="M195" s="1102" t="s">
        <v>68</v>
      </c>
      <c r="N195" s="1102">
        <v>46055</v>
      </c>
      <c r="O195" s="1102" t="s">
        <v>70</v>
      </c>
      <c r="P195" s="1102" t="s">
        <v>965</v>
      </c>
      <c r="Q195" s="1102" t="s">
        <v>966</v>
      </c>
      <c r="R195" s="1102" t="s">
        <v>73</v>
      </c>
      <c r="S195" s="1102" t="s">
        <v>967</v>
      </c>
      <c r="T195" s="1102">
        <v>455</v>
      </c>
      <c r="U195" s="1102">
        <v>3744</v>
      </c>
      <c r="V195" s="1102">
        <v>1.7035199999999999</v>
      </c>
      <c r="W195" s="1102">
        <v>104</v>
      </c>
      <c r="X195" s="1102">
        <v>4</v>
      </c>
      <c r="Y195" s="1102" t="s">
        <v>75</v>
      </c>
      <c r="Z195" s="1102" t="s">
        <v>75</v>
      </c>
      <c r="AB195" s="1103">
        <v>46060</v>
      </c>
      <c r="AC195" s="1102">
        <v>6</v>
      </c>
      <c r="AD195" s="1102" t="s">
        <v>1025</v>
      </c>
      <c r="AF195" s="1102" t="s">
        <v>77</v>
      </c>
      <c r="AG195" s="1102" t="s">
        <v>61</v>
      </c>
      <c r="AH195" s="1102" t="s">
        <v>105</v>
      </c>
      <c r="AI195" s="1103">
        <v>46066</v>
      </c>
      <c r="AJ195" s="1103">
        <v>46065</v>
      </c>
      <c r="AK195" s="1103">
        <v>46065</v>
      </c>
      <c r="AL195" s="1103">
        <v>46119</v>
      </c>
      <c r="AM195" s="1103">
        <v>46141</v>
      </c>
      <c r="AN195" s="1103">
        <v>46137</v>
      </c>
      <c r="AO195" s="1102" t="s">
        <v>402</v>
      </c>
      <c r="AP195" s="1102" t="s">
        <v>771</v>
      </c>
      <c r="AQ195" s="1102" t="s">
        <v>80</v>
      </c>
      <c r="AR195" s="1102" t="s">
        <v>809</v>
      </c>
      <c r="AS195" s="1102" t="s">
        <v>810</v>
      </c>
      <c r="AT195" s="1102" t="s">
        <v>810</v>
      </c>
      <c r="AU195" s="1102">
        <v>72</v>
      </c>
      <c r="AW195" s="1103">
        <v>46137</v>
      </c>
      <c r="AX195" s="1102" t="s">
        <v>973</v>
      </c>
      <c r="AY195" s="1103">
        <v>46149</v>
      </c>
      <c r="AZ195" s="1102">
        <v>7</v>
      </c>
      <c r="BA195" s="1103">
        <v>46144</v>
      </c>
      <c r="BB195" s="1102">
        <v>2026</v>
      </c>
      <c r="BC195" s="1102">
        <v>5</v>
      </c>
      <c r="BD195" s="1102">
        <v>18</v>
      </c>
      <c r="BE195" s="1102">
        <v>36</v>
      </c>
      <c r="BF195" s="1102">
        <v>936</v>
      </c>
      <c r="BG195" s="1102" t="s">
        <v>85</v>
      </c>
      <c r="BH195" s="1102" t="s">
        <v>109</v>
      </c>
    </row>
    <row r="196" spans="1:60">
      <c r="A196" s="1102" t="s">
        <v>1026</v>
      </c>
      <c r="B196" s="1102" t="s">
        <v>61</v>
      </c>
      <c r="C196" s="1102" t="s">
        <v>1021</v>
      </c>
      <c r="D196" s="1102" t="s">
        <v>63</v>
      </c>
      <c r="E196" s="1102" t="s">
        <v>64</v>
      </c>
      <c r="F196" s="1102" t="s">
        <v>100</v>
      </c>
      <c r="G196" s="1102" t="s">
        <v>402</v>
      </c>
      <c r="H196" s="1102" t="s">
        <v>67</v>
      </c>
      <c r="I196" s="1102" t="s">
        <v>68</v>
      </c>
      <c r="J196" s="1102" t="s">
        <v>419</v>
      </c>
      <c r="M196" s="1102" t="s">
        <v>68</v>
      </c>
      <c r="N196" s="1102">
        <v>46055</v>
      </c>
      <c r="O196" s="1102" t="s">
        <v>70</v>
      </c>
      <c r="P196" s="1102" t="s">
        <v>965</v>
      </c>
      <c r="Q196" s="1102" t="s">
        <v>966</v>
      </c>
      <c r="R196" s="1102" t="s">
        <v>73</v>
      </c>
      <c r="S196" s="1102" t="s">
        <v>967</v>
      </c>
      <c r="T196" s="1102">
        <v>455</v>
      </c>
      <c r="U196" s="1102">
        <v>3744</v>
      </c>
      <c r="V196" s="1102">
        <v>1.7035199999999999</v>
      </c>
      <c r="W196" s="1102">
        <v>104</v>
      </c>
      <c r="X196" s="1102">
        <v>4</v>
      </c>
      <c r="Y196" s="1102" t="s">
        <v>75</v>
      </c>
      <c r="Z196" s="1102" t="s">
        <v>75</v>
      </c>
      <c r="AB196" s="1103">
        <v>46060</v>
      </c>
      <c r="AC196" s="1102">
        <v>6</v>
      </c>
      <c r="AD196" s="1102" t="s">
        <v>1027</v>
      </c>
      <c r="AF196" s="1102" t="s">
        <v>77</v>
      </c>
      <c r="AG196" s="1102" t="s">
        <v>61</v>
      </c>
      <c r="AH196" s="1102" t="s">
        <v>105</v>
      </c>
      <c r="AI196" s="1103">
        <v>46066</v>
      </c>
      <c r="AJ196" s="1103">
        <v>46065</v>
      </c>
      <c r="AK196" s="1103">
        <v>46065</v>
      </c>
      <c r="AL196" s="1103">
        <v>46119</v>
      </c>
      <c r="AM196" s="1103">
        <v>46141</v>
      </c>
      <c r="AN196" s="1103">
        <v>46137</v>
      </c>
      <c r="AO196" s="1102" t="s">
        <v>402</v>
      </c>
      <c r="AP196" s="1102" t="s">
        <v>771</v>
      </c>
      <c r="AQ196" s="1102" t="s">
        <v>80</v>
      </c>
      <c r="AR196" s="1102" t="s">
        <v>809</v>
      </c>
      <c r="AS196" s="1102" t="s">
        <v>810</v>
      </c>
      <c r="AT196" s="1102" t="s">
        <v>810</v>
      </c>
      <c r="AU196" s="1102">
        <v>72</v>
      </c>
      <c r="AW196" s="1103">
        <v>46137</v>
      </c>
      <c r="AX196" s="1102" t="s">
        <v>973</v>
      </c>
      <c r="AY196" s="1103">
        <v>46149</v>
      </c>
      <c r="AZ196" s="1102">
        <v>7</v>
      </c>
      <c r="BA196" s="1103">
        <v>46144</v>
      </c>
      <c r="BB196" s="1102">
        <v>2026</v>
      </c>
      <c r="BC196" s="1102">
        <v>5</v>
      </c>
      <c r="BD196" s="1102">
        <v>18</v>
      </c>
      <c r="BE196" s="1102">
        <v>36</v>
      </c>
      <c r="BF196" s="1102">
        <v>936</v>
      </c>
      <c r="BG196" s="1102" t="s">
        <v>85</v>
      </c>
      <c r="BH196" s="1102" t="s">
        <v>109</v>
      </c>
    </row>
    <row r="197" spans="1:60">
      <c r="A197" s="1102" t="s">
        <v>1028</v>
      </c>
      <c r="B197" s="1102" t="s">
        <v>111</v>
      </c>
      <c r="C197" s="1102" t="s">
        <v>203</v>
      </c>
      <c r="D197" s="1102" t="s">
        <v>63</v>
      </c>
      <c r="E197" s="1102" t="s">
        <v>144</v>
      </c>
      <c r="F197" s="1102" t="s">
        <v>145</v>
      </c>
      <c r="G197" s="1102" t="s">
        <v>402</v>
      </c>
      <c r="H197" s="1102" t="s">
        <v>1029</v>
      </c>
      <c r="I197" s="1102" t="s">
        <v>882</v>
      </c>
      <c r="J197" s="1102" t="s">
        <v>1030</v>
      </c>
      <c r="K197" s="1102" t="s">
        <v>1031</v>
      </c>
      <c r="M197" s="1102" t="s">
        <v>840</v>
      </c>
      <c r="N197" s="1102">
        <v>46045</v>
      </c>
      <c r="O197" s="1102" t="s">
        <v>1032</v>
      </c>
      <c r="P197" s="1102" t="s">
        <v>1033</v>
      </c>
      <c r="Q197" s="1102" t="s">
        <v>886</v>
      </c>
      <c r="R197" s="1102" t="s">
        <v>73</v>
      </c>
      <c r="S197" s="1102" t="s">
        <v>992</v>
      </c>
      <c r="T197" s="1102">
        <v>615</v>
      </c>
      <c r="U197" s="1102">
        <v>468</v>
      </c>
      <c r="V197" s="1102">
        <v>0.28782000000000002</v>
      </c>
      <c r="W197" s="1102">
        <v>13</v>
      </c>
      <c r="X197" s="1102">
        <v>0.65</v>
      </c>
      <c r="Y197" s="1102" t="s">
        <v>75</v>
      </c>
      <c r="Z197" s="1102" t="s">
        <v>75</v>
      </c>
      <c r="AB197" s="1103">
        <v>46060</v>
      </c>
      <c r="AC197" s="1102">
        <v>6</v>
      </c>
      <c r="AD197" s="1102" t="s">
        <v>1034</v>
      </c>
      <c r="AF197" s="1102" t="s">
        <v>122</v>
      </c>
      <c r="AG197" s="1102" t="s">
        <v>123</v>
      </c>
      <c r="AH197" s="1102" t="s">
        <v>888</v>
      </c>
      <c r="AI197" s="1103">
        <v>46070</v>
      </c>
      <c r="AJ197" s="1103">
        <v>46071</v>
      </c>
      <c r="AK197" s="1103">
        <v>46071</v>
      </c>
      <c r="AL197" s="1103">
        <v>46120</v>
      </c>
      <c r="AM197" s="1103">
        <v>46126</v>
      </c>
      <c r="AN197" s="1103">
        <v>46125</v>
      </c>
      <c r="AO197" s="1102" t="s">
        <v>402</v>
      </c>
      <c r="AP197" s="1102" t="s">
        <v>1035</v>
      </c>
      <c r="AQ197" s="1102" t="s">
        <v>80</v>
      </c>
      <c r="AR197" s="1102" t="s">
        <v>1036</v>
      </c>
      <c r="AS197" s="1102" t="s">
        <v>1037</v>
      </c>
      <c r="AT197" s="1102" t="s">
        <v>1037</v>
      </c>
      <c r="AU197" s="1102">
        <v>54</v>
      </c>
      <c r="AW197" s="1103">
        <v>46125</v>
      </c>
      <c r="AX197" s="1102" t="s">
        <v>973</v>
      </c>
      <c r="AY197" s="1103">
        <v>46133</v>
      </c>
      <c r="AZ197" s="1102">
        <v>0</v>
      </c>
      <c r="BA197" s="1103">
        <v>46125</v>
      </c>
      <c r="BB197" s="1102">
        <v>2026</v>
      </c>
      <c r="BC197" s="1102">
        <v>4</v>
      </c>
      <c r="BD197" s="1102">
        <v>16</v>
      </c>
      <c r="BE197" s="1102">
        <v>36</v>
      </c>
      <c r="BF197" s="1102">
        <v>720</v>
      </c>
      <c r="BG197" s="1102" t="s">
        <v>108</v>
      </c>
      <c r="BH197" s="1102" t="s">
        <v>109</v>
      </c>
    </row>
    <row r="198" spans="1:60">
      <c r="A198" s="1102" t="s">
        <v>1038</v>
      </c>
      <c r="B198" s="1102" t="s">
        <v>111</v>
      </c>
      <c r="C198" s="1102" t="s">
        <v>203</v>
      </c>
      <c r="D198" s="1102" t="s">
        <v>63</v>
      </c>
      <c r="E198" s="1102" t="s">
        <v>144</v>
      </c>
      <c r="F198" s="1102" t="s">
        <v>145</v>
      </c>
      <c r="G198" s="1102" t="s">
        <v>402</v>
      </c>
      <c r="H198" s="1102" t="s">
        <v>1029</v>
      </c>
      <c r="I198" s="1102" t="s">
        <v>882</v>
      </c>
      <c r="J198" s="1102" t="s">
        <v>1030</v>
      </c>
      <c r="K198" s="1102" t="s">
        <v>1031</v>
      </c>
      <c r="M198" s="1102" t="s">
        <v>840</v>
      </c>
      <c r="N198" s="1102">
        <v>46045</v>
      </c>
      <c r="O198" s="1102" t="s">
        <v>1032</v>
      </c>
      <c r="P198" s="1102" t="s">
        <v>943</v>
      </c>
      <c r="Q198" s="1102" t="s">
        <v>886</v>
      </c>
      <c r="R198" s="1102" t="s">
        <v>73</v>
      </c>
      <c r="S198" s="1102" t="s">
        <v>967</v>
      </c>
      <c r="T198" s="1102">
        <v>615</v>
      </c>
      <c r="U198" s="1102">
        <v>684</v>
      </c>
      <c r="V198" s="1102">
        <v>0.42065999999999998</v>
      </c>
      <c r="W198" s="1102">
        <v>19</v>
      </c>
      <c r="X198" s="1102">
        <v>0.95</v>
      </c>
      <c r="Y198" s="1102" t="s">
        <v>75</v>
      </c>
      <c r="Z198" s="1102" t="s">
        <v>75</v>
      </c>
      <c r="AB198" s="1103">
        <v>46060</v>
      </c>
      <c r="AC198" s="1102">
        <v>6</v>
      </c>
      <c r="AD198" s="1102" t="s">
        <v>1039</v>
      </c>
      <c r="AF198" s="1102" t="s">
        <v>122</v>
      </c>
      <c r="AG198" s="1102" t="s">
        <v>123</v>
      </c>
      <c r="AH198" s="1102" t="s">
        <v>888</v>
      </c>
      <c r="AI198" s="1103">
        <v>46070</v>
      </c>
      <c r="AJ198" s="1103">
        <v>46071</v>
      </c>
      <c r="AK198" s="1103">
        <v>46071</v>
      </c>
      <c r="AL198" s="1103">
        <v>46120</v>
      </c>
      <c r="AM198" s="1103">
        <v>46126</v>
      </c>
      <c r="AN198" s="1103">
        <v>46125</v>
      </c>
      <c r="AO198" s="1102" t="s">
        <v>402</v>
      </c>
      <c r="AP198" s="1102" t="s">
        <v>1035</v>
      </c>
      <c r="AQ198" s="1102" t="s">
        <v>80</v>
      </c>
      <c r="AR198" s="1102" t="s">
        <v>1036</v>
      </c>
      <c r="AS198" s="1102" t="s">
        <v>1037</v>
      </c>
      <c r="AT198" s="1102" t="s">
        <v>1037</v>
      </c>
      <c r="AU198" s="1102">
        <v>54</v>
      </c>
      <c r="AW198" s="1103">
        <v>46125</v>
      </c>
      <c r="AX198" s="1102" t="s">
        <v>973</v>
      </c>
      <c r="AY198" s="1103">
        <v>46133</v>
      </c>
      <c r="AZ198" s="1102">
        <v>0</v>
      </c>
      <c r="BA198" s="1103">
        <v>46125</v>
      </c>
      <c r="BB198" s="1102">
        <v>2026</v>
      </c>
      <c r="BC198" s="1102">
        <v>4</v>
      </c>
      <c r="BD198" s="1102">
        <v>16</v>
      </c>
      <c r="BE198" s="1102">
        <v>36</v>
      </c>
      <c r="BF198" s="1102">
        <v>720</v>
      </c>
      <c r="BG198" s="1102" t="s">
        <v>108</v>
      </c>
      <c r="BH198" s="1102" t="s">
        <v>109</v>
      </c>
    </row>
    <row r="199" spans="1:60">
      <c r="A199" s="1102" t="s">
        <v>1040</v>
      </c>
      <c r="B199" s="1102" t="s">
        <v>111</v>
      </c>
      <c r="C199" s="1102" t="s">
        <v>203</v>
      </c>
      <c r="D199" s="1102" t="s">
        <v>63</v>
      </c>
      <c r="E199" s="1102" t="s">
        <v>144</v>
      </c>
      <c r="F199" s="1102" t="s">
        <v>145</v>
      </c>
      <c r="G199" s="1102" t="s">
        <v>402</v>
      </c>
      <c r="H199" s="1102" t="s">
        <v>1029</v>
      </c>
      <c r="I199" s="1102" t="s">
        <v>882</v>
      </c>
      <c r="J199" s="1102" t="s">
        <v>1030</v>
      </c>
      <c r="K199" s="1102" t="s">
        <v>1031</v>
      </c>
      <c r="M199" s="1102" t="s">
        <v>840</v>
      </c>
      <c r="N199" s="1102">
        <v>46045</v>
      </c>
      <c r="O199" s="1102" t="s">
        <v>1032</v>
      </c>
      <c r="P199" s="1102" t="s">
        <v>102</v>
      </c>
      <c r="Q199" s="1102" t="s">
        <v>103</v>
      </c>
      <c r="R199" s="1102" t="s">
        <v>73</v>
      </c>
      <c r="S199" s="1102" t="s">
        <v>967</v>
      </c>
      <c r="T199" s="1102">
        <v>620</v>
      </c>
      <c r="U199" s="1102">
        <v>1584</v>
      </c>
      <c r="V199" s="1102">
        <v>0.98207999999999995</v>
      </c>
      <c r="W199" s="1102">
        <v>44</v>
      </c>
      <c r="X199" s="1102">
        <v>2.2000000000000002</v>
      </c>
      <c r="Y199" s="1102" t="s">
        <v>75</v>
      </c>
      <c r="Z199" s="1102" t="s">
        <v>75</v>
      </c>
      <c r="AB199" s="1103">
        <v>46060</v>
      </c>
      <c r="AC199" s="1102">
        <v>6</v>
      </c>
      <c r="AD199" s="1102" t="s">
        <v>1041</v>
      </c>
      <c r="AF199" s="1102" t="s">
        <v>122</v>
      </c>
      <c r="AG199" s="1102" t="s">
        <v>123</v>
      </c>
      <c r="AH199" s="1102" t="s">
        <v>888</v>
      </c>
      <c r="AI199" s="1103">
        <v>46070</v>
      </c>
      <c r="AJ199" s="1103">
        <v>46071</v>
      </c>
      <c r="AK199" s="1103">
        <v>46071</v>
      </c>
      <c r="AL199" s="1103">
        <v>46120</v>
      </c>
      <c r="AM199" s="1103">
        <v>46126</v>
      </c>
      <c r="AN199" s="1103">
        <v>46125</v>
      </c>
      <c r="AO199" s="1102" t="s">
        <v>402</v>
      </c>
      <c r="AP199" s="1102" t="s">
        <v>1035</v>
      </c>
      <c r="AQ199" s="1102" t="s">
        <v>80</v>
      </c>
      <c r="AR199" s="1102" t="s">
        <v>1036</v>
      </c>
      <c r="AS199" s="1102" t="s">
        <v>1037</v>
      </c>
      <c r="AT199" s="1102" t="s">
        <v>1037</v>
      </c>
      <c r="AU199" s="1102">
        <v>54</v>
      </c>
      <c r="AW199" s="1103">
        <v>46125</v>
      </c>
      <c r="AX199" s="1102" t="s">
        <v>973</v>
      </c>
      <c r="AY199" s="1103">
        <v>46133</v>
      </c>
      <c r="AZ199" s="1102">
        <v>0</v>
      </c>
      <c r="BA199" s="1103">
        <v>46125</v>
      </c>
      <c r="BB199" s="1102">
        <v>2026</v>
      </c>
      <c r="BC199" s="1102">
        <v>4</v>
      </c>
      <c r="BD199" s="1102">
        <v>16</v>
      </c>
      <c r="BE199" s="1102">
        <v>36</v>
      </c>
      <c r="BF199" s="1102">
        <v>720</v>
      </c>
      <c r="BG199" s="1102" t="s">
        <v>108</v>
      </c>
      <c r="BH199" s="1102" t="s">
        <v>109</v>
      </c>
    </row>
    <row r="200" spans="1:60">
      <c r="A200" s="1102" t="s">
        <v>1042</v>
      </c>
      <c r="B200" s="1102" t="s">
        <v>111</v>
      </c>
      <c r="C200" s="1102" t="s">
        <v>203</v>
      </c>
      <c r="D200" s="1102" t="s">
        <v>63</v>
      </c>
      <c r="E200" s="1102" t="s">
        <v>144</v>
      </c>
      <c r="F200" s="1102" t="s">
        <v>145</v>
      </c>
      <c r="G200" s="1102" t="s">
        <v>402</v>
      </c>
      <c r="H200" s="1102" t="s">
        <v>1029</v>
      </c>
      <c r="I200" s="1102" t="s">
        <v>882</v>
      </c>
      <c r="J200" s="1102" t="s">
        <v>1030</v>
      </c>
      <c r="K200" s="1102" t="s">
        <v>1031</v>
      </c>
      <c r="M200" s="1102" t="s">
        <v>840</v>
      </c>
      <c r="N200" s="1102">
        <v>46045</v>
      </c>
      <c r="O200" s="1102" t="s">
        <v>1032</v>
      </c>
      <c r="P200" s="1102" t="s">
        <v>1043</v>
      </c>
      <c r="Q200" s="1102" t="s">
        <v>330</v>
      </c>
      <c r="R200" s="1102" t="s">
        <v>73</v>
      </c>
      <c r="S200" s="1102" t="s">
        <v>967</v>
      </c>
      <c r="T200" s="1102">
        <v>625</v>
      </c>
      <c r="U200" s="1102">
        <v>144</v>
      </c>
      <c r="V200" s="1102">
        <v>0.09</v>
      </c>
      <c r="W200" s="1102">
        <v>4</v>
      </c>
      <c r="X200" s="1102">
        <v>0.2</v>
      </c>
      <c r="Y200" s="1102" t="s">
        <v>75</v>
      </c>
      <c r="Z200" s="1102" t="s">
        <v>75</v>
      </c>
      <c r="AB200" s="1103">
        <v>46060</v>
      </c>
      <c r="AC200" s="1102">
        <v>6</v>
      </c>
      <c r="AD200" s="1102" t="s">
        <v>1044</v>
      </c>
      <c r="AF200" s="1102" t="s">
        <v>122</v>
      </c>
      <c r="AG200" s="1102" t="s">
        <v>123</v>
      </c>
      <c r="AH200" s="1102" t="s">
        <v>888</v>
      </c>
      <c r="AI200" s="1103">
        <v>46070</v>
      </c>
      <c r="AJ200" s="1103">
        <v>46071</v>
      </c>
      <c r="AK200" s="1103">
        <v>46071</v>
      </c>
      <c r="AL200" s="1103">
        <v>46120</v>
      </c>
      <c r="AM200" s="1103">
        <v>46126</v>
      </c>
      <c r="AN200" s="1103">
        <v>46125</v>
      </c>
      <c r="AO200" s="1102" t="s">
        <v>402</v>
      </c>
      <c r="AP200" s="1102" t="s">
        <v>1035</v>
      </c>
      <c r="AQ200" s="1102" t="s">
        <v>80</v>
      </c>
      <c r="AR200" s="1102" t="s">
        <v>1036</v>
      </c>
      <c r="AS200" s="1102" t="s">
        <v>1037</v>
      </c>
      <c r="AT200" s="1102" t="s">
        <v>1037</v>
      </c>
      <c r="AU200" s="1102">
        <v>54</v>
      </c>
      <c r="AW200" s="1103">
        <v>46125</v>
      </c>
      <c r="AX200" s="1102" t="s">
        <v>973</v>
      </c>
      <c r="AY200" s="1103">
        <v>46133</v>
      </c>
      <c r="AZ200" s="1102">
        <v>0</v>
      </c>
      <c r="BA200" s="1103">
        <v>46125</v>
      </c>
      <c r="BB200" s="1102">
        <v>2026</v>
      </c>
      <c r="BC200" s="1102">
        <v>4</v>
      </c>
      <c r="BD200" s="1102">
        <v>16</v>
      </c>
      <c r="BE200" s="1102">
        <v>36</v>
      </c>
      <c r="BF200" s="1102">
        <v>720</v>
      </c>
      <c r="BG200" s="1102" t="s">
        <v>108</v>
      </c>
      <c r="BH200" s="1102" t="s">
        <v>109</v>
      </c>
    </row>
    <row r="201" spans="1:60">
      <c r="A201" s="1102" t="s">
        <v>1045</v>
      </c>
      <c r="B201" s="1102" t="s">
        <v>111</v>
      </c>
      <c r="C201" s="1102" t="s">
        <v>1046</v>
      </c>
      <c r="D201" s="1102" t="s">
        <v>63</v>
      </c>
      <c r="E201" s="1102" t="s">
        <v>64</v>
      </c>
      <c r="F201" s="1102" t="s">
        <v>100</v>
      </c>
      <c r="G201" s="1102" t="s">
        <v>402</v>
      </c>
      <c r="H201" s="1102" t="s">
        <v>67</v>
      </c>
      <c r="I201" s="1102" t="s">
        <v>689</v>
      </c>
      <c r="J201" s="1102" t="s">
        <v>1047</v>
      </c>
      <c r="M201" s="1102" t="s">
        <v>68</v>
      </c>
      <c r="N201" s="1102">
        <v>46062</v>
      </c>
      <c r="O201" s="1102" t="s">
        <v>70</v>
      </c>
      <c r="P201" s="1102" t="s">
        <v>1002</v>
      </c>
      <c r="Q201" s="1102" t="s">
        <v>330</v>
      </c>
      <c r="R201" s="1102" t="s">
        <v>73</v>
      </c>
      <c r="S201" s="1102" t="s">
        <v>992</v>
      </c>
      <c r="T201" s="1102">
        <v>625</v>
      </c>
      <c r="U201" s="1102">
        <v>5040</v>
      </c>
      <c r="V201" s="1102">
        <v>3.15</v>
      </c>
      <c r="W201" s="1102">
        <v>140</v>
      </c>
      <c r="X201" s="1102">
        <v>7</v>
      </c>
      <c r="Y201" s="1102" t="s">
        <v>75</v>
      </c>
      <c r="Z201" s="1102" t="s">
        <v>75</v>
      </c>
      <c r="AB201" s="1103">
        <v>46064</v>
      </c>
      <c r="AC201" s="1102">
        <v>7</v>
      </c>
      <c r="AD201" s="1102" t="s">
        <v>1048</v>
      </c>
      <c r="AF201" s="1102" t="s">
        <v>122</v>
      </c>
      <c r="AG201" s="1102" t="s">
        <v>123</v>
      </c>
      <c r="AH201" s="1102" t="s">
        <v>105</v>
      </c>
      <c r="AI201" s="1103">
        <v>46070</v>
      </c>
      <c r="AJ201" s="1103">
        <v>46069</v>
      </c>
      <c r="AK201" s="1103">
        <v>46069</v>
      </c>
      <c r="AL201" s="1103">
        <v>46109</v>
      </c>
      <c r="AM201" s="1103">
        <v>46126</v>
      </c>
      <c r="AN201" s="1103">
        <v>46127</v>
      </c>
      <c r="AO201" s="1102" t="s">
        <v>402</v>
      </c>
      <c r="AP201" s="1102" t="s">
        <v>1049</v>
      </c>
      <c r="AQ201" s="1102" t="s">
        <v>80</v>
      </c>
      <c r="AR201" s="1102" t="s">
        <v>1050</v>
      </c>
      <c r="AS201" s="1102" t="s">
        <v>1051</v>
      </c>
      <c r="AT201" s="1102" t="s">
        <v>1051</v>
      </c>
      <c r="AU201" s="1102">
        <v>58</v>
      </c>
      <c r="AW201" s="1103">
        <v>46127</v>
      </c>
      <c r="AX201" s="1102" t="s">
        <v>973</v>
      </c>
      <c r="AY201" s="1103">
        <v>46133</v>
      </c>
      <c r="AZ201" s="1102">
        <v>7</v>
      </c>
      <c r="BA201" s="1103">
        <v>46134</v>
      </c>
      <c r="BB201" s="1102">
        <v>2026</v>
      </c>
      <c r="BC201" s="1102">
        <v>4</v>
      </c>
      <c r="BD201" s="1102">
        <v>17</v>
      </c>
      <c r="BE201" s="1102">
        <v>36</v>
      </c>
      <c r="BF201" s="1102">
        <v>720</v>
      </c>
      <c r="BG201" s="1102" t="s">
        <v>128</v>
      </c>
      <c r="BH201" s="1102" t="s">
        <v>109</v>
      </c>
    </row>
    <row r="202" spans="1:60">
      <c r="A202" s="1102" t="s">
        <v>1052</v>
      </c>
      <c r="B202" s="1102" t="s">
        <v>111</v>
      </c>
      <c r="C202" s="1102" t="s">
        <v>1046</v>
      </c>
      <c r="D202" s="1102" t="s">
        <v>63</v>
      </c>
      <c r="E202" s="1102" t="s">
        <v>64</v>
      </c>
      <c r="F202" s="1102" t="s">
        <v>100</v>
      </c>
      <c r="G202" s="1102" t="s">
        <v>402</v>
      </c>
      <c r="H202" s="1102" t="s">
        <v>67</v>
      </c>
      <c r="I202" s="1102" t="s">
        <v>689</v>
      </c>
      <c r="J202" s="1102" t="s">
        <v>1047</v>
      </c>
      <c r="M202" s="1102" t="s">
        <v>68</v>
      </c>
      <c r="N202" s="1102">
        <v>46062</v>
      </c>
      <c r="O202" s="1102" t="s">
        <v>70</v>
      </c>
      <c r="P202" s="1102" t="s">
        <v>1002</v>
      </c>
      <c r="Q202" s="1102" t="s">
        <v>330</v>
      </c>
      <c r="R202" s="1102" t="s">
        <v>73</v>
      </c>
      <c r="S202" s="1102" t="s">
        <v>992</v>
      </c>
      <c r="T202" s="1102">
        <v>625</v>
      </c>
      <c r="U202" s="1102">
        <v>3600</v>
      </c>
      <c r="V202" s="1102">
        <v>2.25</v>
      </c>
      <c r="W202" s="1102">
        <v>100</v>
      </c>
      <c r="X202" s="1102">
        <v>5</v>
      </c>
      <c r="Y202" s="1102" t="s">
        <v>75</v>
      </c>
      <c r="Z202" s="1102" t="s">
        <v>75</v>
      </c>
      <c r="AB202" s="1103">
        <v>46065</v>
      </c>
      <c r="AC202" s="1102">
        <v>7</v>
      </c>
      <c r="AD202" s="1102" t="s">
        <v>1053</v>
      </c>
      <c r="AF202" s="1102" t="s">
        <v>122</v>
      </c>
      <c r="AG202" s="1102" t="s">
        <v>123</v>
      </c>
      <c r="AH202" s="1102" t="s">
        <v>105</v>
      </c>
      <c r="AI202" s="1103">
        <v>46070</v>
      </c>
      <c r="AJ202" s="1103">
        <v>46087</v>
      </c>
      <c r="AK202" s="1103">
        <v>46086</v>
      </c>
      <c r="AL202" s="1103">
        <v>46109</v>
      </c>
      <c r="AM202" s="1103">
        <v>46133</v>
      </c>
      <c r="AN202" s="1103">
        <v>46133</v>
      </c>
      <c r="AO202" s="1102" t="s">
        <v>402</v>
      </c>
      <c r="AP202" s="1102" t="s">
        <v>1049</v>
      </c>
      <c r="AQ202" s="1102" t="s">
        <v>80</v>
      </c>
      <c r="AR202" s="1102" t="s">
        <v>1054</v>
      </c>
      <c r="AS202" s="1102" t="s">
        <v>1055</v>
      </c>
      <c r="AT202" s="1102" t="s">
        <v>1055</v>
      </c>
      <c r="AU202" s="1102">
        <v>47</v>
      </c>
      <c r="AW202" s="1103">
        <v>46133</v>
      </c>
      <c r="AX202" s="1102" t="s">
        <v>973</v>
      </c>
      <c r="AY202" s="1103">
        <v>46146</v>
      </c>
      <c r="AZ202" s="1102">
        <v>7</v>
      </c>
      <c r="BA202" s="1103">
        <v>46140</v>
      </c>
      <c r="BB202" s="1102">
        <v>2026</v>
      </c>
      <c r="BC202" s="1102">
        <v>4</v>
      </c>
      <c r="BD202" s="1102">
        <v>18</v>
      </c>
      <c r="BE202" s="1102">
        <v>36</v>
      </c>
      <c r="BF202" s="1102">
        <v>720</v>
      </c>
      <c r="BG202" s="1102" t="s">
        <v>128</v>
      </c>
      <c r="BH202" s="1102" t="s">
        <v>109</v>
      </c>
    </row>
    <row r="203" spans="1:60">
      <c r="A203" s="1102" t="s">
        <v>1056</v>
      </c>
      <c r="B203" s="1102" t="s">
        <v>111</v>
      </c>
      <c r="C203" s="1102" t="s">
        <v>1007</v>
      </c>
      <c r="D203" s="1102" t="s">
        <v>63</v>
      </c>
      <c r="E203" s="1102" t="s">
        <v>64</v>
      </c>
      <c r="F203" s="1102" t="s">
        <v>100</v>
      </c>
      <c r="G203" s="1102" t="s">
        <v>402</v>
      </c>
      <c r="H203" s="1102" t="s">
        <v>67</v>
      </c>
      <c r="I203" s="1102" t="s">
        <v>68</v>
      </c>
      <c r="J203" s="1102" t="s">
        <v>101</v>
      </c>
      <c r="M203" s="1102" t="s">
        <v>68</v>
      </c>
      <c r="N203" s="1102">
        <v>46045</v>
      </c>
      <c r="O203" s="1102" t="s">
        <v>70</v>
      </c>
      <c r="P203" s="1102" t="s">
        <v>102</v>
      </c>
      <c r="Q203" s="1102" t="s">
        <v>103</v>
      </c>
      <c r="R203" s="1102" t="s">
        <v>73</v>
      </c>
      <c r="S203" s="1102" t="s">
        <v>967</v>
      </c>
      <c r="T203" s="1102">
        <v>620</v>
      </c>
      <c r="U203" s="1102">
        <v>5040</v>
      </c>
      <c r="V203" s="1102">
        <v>3.1248</v>
      </c>
      <c r="W203" s="1102">
        <v>140</v>
      </c>
      <c r="X203" s="1102">
        <v>7</v>
      </c>
      <c r="Y203" s="1102" t="s">
        <v>75</v>
      </c>
      <c r="Z203" s="1102" t="s">
        <v>75</v>
      </c>
      <c r="AB203" s="1103">
        <v>46061</v>
      </c>
      <c r="AC203" s="1102">
        <v>6</v>
      </c>
      <c r="AD203" s="1102" t="s">
        <v>1057</v>
      </c>
      <c r="AF203" s="1102" t="s">
        <v>122</v>
      </c>
      <c r="AG203" s="1102" t="s">
        <v>123</v>
      </c>
      <c r="AH203" s="1102" t="s">
        <v>105</v>
      </c>
      <c r="AI203" s="1103">
        <v>46067</v>
      </c>
      <c r="AJ203" s="1103">
        <v>46087</v>
      </c>
      <c r="AK203" s="1103">
        <v>46086</v>
      </c>
      <c r="AL203" s="1103">
        <v>46108</v>
      </c>
      <c r="AM203" s="1103">
        <v>46133</v>
      </c>
      <c r="AN203" s="1103">
        <v>46133</v>
      </c>
      <c r="AO203" s="1102" t="s">
        <v>402</v>
      </c>
      <c r="AP203" s="1102" t="s">
        <v>829</v>
      </c>
      <c r="AQ203" s="1102" t="s">
        <v>80</v>
      </c>
      <c r="AR203" s="1102" t="s">
        <v>830</v>
      </c>
      <c r="AS203" s="1102" t="s">
        <v>831</v>
      </c>
      <c r="AT203" s="1102" t="s">
        <v>831</v>
      </c>
      <c r="AU203" s="1102">
        <v>47</v>
      </c>
      <c r="AW203" s="1103">
        <v>46133</v>
      </c>
      <c r="AX203" s="1102" t="s">
        <v>973</v>
      </c>
      <c r="AY203" s="1103">
        <v>46146</v>
      </c>
      <c r="AZ203" s="1102">
        <v>7</v>
      </c>
      <c r="BA203" s="1103">
        <v>46140</v>
      </c>
      <c r="BB203" s="1102">
        <v>2026</v>
      </c>
      <c r="BC203" s="1102">
        <v>4</v>
      </c>
      <c r="BD203" s="1102">
        <v>18</v>
      </c>
      <c r="BE203" s="1102">
        <v>36</v>
      </c>
      <c r="BF203" s="1102">
        <v>720</v>
      </c>
      <c r="BG203" s="1102" t="s">
        <v>108</v>
      </c>
      <c r="BH203" s="1102" t="s">
        <v>109</v>
      </c>
    </row>
    <row r="204" spans="1:60">
      <c r="A204" s="1102" t="s">
        <v>1058</v>
      </c>
      <c r="B204" s="1102" t="s">
        <v>111</v>
      </c>
      <c r="C204" s="1102" t="s">
        <v>991</v>
      </c>
      <c r="D204" s="1102" t="s">
        <v>63</v>
      </c>
      <c r="E204" s="1102" t="s">
        <v>64</v>
      </c>
      <c r="F204" s="1102" t="s">
        <v>100</v>
      </c>
      <c r="G204" s="1102" t="s">
        <v>402</v>
      </c>
      <c r="H204" s="1102" t="s">
        <v>67</v>
      </c>
      <c r="I204" s="1102" t="s">
        <v>68</v>
      </c>
      <c r="J204" s="1102" t="s">
        <v>101</v>
      </c>
      <c r="M204" s="1102" t="s">
        <v>68</v>
      </c>
      <c r="N204" s="1102">
        <v>46048</v>
      </c>
      <c r="O204" s="1102" t="s">
        <v>132</v>
      </c>
      <c r="P204" s="1102" t="s">
        <v>133</v>
      </c>
      <c r="Q204" s="1102" t="s">
        <v>134</v>
      </c>
      <c r="R204" s="1102" t="s">
        <v>73</v>
      </c>
      <c r="S204" s="1102" t="s">
        <v>992</v>
      </c>
      <c r="T204" s="1102">
        <v>720</v>
      </c>
      <c r="U204" s="1102">
        <v>594</v>
      </c>
      <c r="V204" s="1102">
        <v>0.42768</v>
      </c>
      <c r="W204" s="1102">
        <v>18</v>
      </c>
      <c r="X204" s="1102">
        <v>1</v>
      </c>
      <c r="Y204" s="1102" t="s">
        <v>75</v>
      </c>
      <c r="Z204" s="1102" t="s">
        <v>75</v>
      </c>
      <c r="AB204" s="1103">
        <v>46061</v>
      </c>
      <c r="AC204" s="1102">
        <v>6</v>
      </c>
      <c r="AD204" s="1102" t="s">
        <v>1059</v>
      </c>
      <c r="AF204" s="1102" t="s">
        <v>122</v>
      </c>
      <c r="AG204" s="1102" t="s">
        <v>123</v>
      </c>
      <c r="AH204" s="1102" t="s">
        <v>105</v>
      </c>
      <c r="AI204" s="1103">
        <v>46067</v>
      </c>
      <c r="AJ204" s="1103">
        <v>46087</v>
      </c>
      <c r="AK204" s="1103">
        <v>46086</v>
      </c>
      <c r="AL204" s="1103">
        <v>46108</v>
      </c>
      <c r="AM204" s="1103">
        <v>46133</v>
      </c>
      <c r="AN204" s="1103">
        <v>46133</v>
      </c>
      <c r="AO204" s="1102" t="s">
        <v>402</v>
      </c>
      <c r="AP204" s="1102" t="s">
        <v>829</v>
      </c>
      <c r="AQ204" s="1102" t="s">
        <v>80</v>
      </c>
      <c r="AR204" s="1102" t="s">
        <v>830</v>
      </c>
      <c r="AS204" s="1102" t="s">
        <v>831</v>
      </c>
      <c r="AT204" s="1102" t="s">
        <v>831</v>
      </c>
      <c r="AU204" s="1102">
        <v>47</v>
      </c>
      <c r="AW204" s="1103">
        <v>46133</v>
      </c>
      <c r="AX204" s="1102" t="s">
        <v>973</v>
      </c>
      <c r="AY204" s="1103">
        <v>46146</v>
      </c>
      <c r="AZ204" s="1102">
        <v>7</v>
      </c>
      <c r="BA204" s="1103">
        <v>46140</v>
      </c>
      <c r="BB204" s="1102">
        <v>2026</v>
      </c>
      <c r="BC204" s="1102">
        <v>4</v>
      </c>
      <c r="BD204" s="1102">
        <v>18</v>
      </c>
      <c r="BE204" s="1102">
        <v>33</v>
      </c>
      <c r="BF204" s="1102">
        <v>594</v>
      </c>
      <c r="BG204" s="1102" t="s">
        <v>108</v>
      </c>
      <c r="BH204" s="1102" t="s">
        <v>109</v>
      </c>
    </row>
    <row r="205" spans="1:60">
      <c r="A205" s="1102" t="s">
        <v>1060</v>
      </c>
      <c r="B205" s="1102" t="s">
        <v>111</v>
      </c>
      <c r="C205" s="1102" t="s">
        <v>1061</v>
      </c>
      <c r="D205" s="1102" t="s">
        <v>63</v>
      </c>
      <c r="E205" s="1102" t="s">
        <v>64</v>
      </c>
      <c r="F205" s="1102" t="s">
        <v>100</v>
      </c>
      <c r="G205" s="1102" t="s">
        <v>402</v>
      </c>
      <c r="H205" s="1102" t="s">
        <v>67</v>
      </c>
      <c r="I205" s="1102" t="s">
        <v>869</v>
      </c>
      <c r="J205" s="1102" t="s">
        <v>101</v>
      </c>
      <c r="M205" s="1102" t="s">
        <v>68</v>
      </c>
      <c r="N205" s="1102">
        <v>46069</v>
      </c>
      <c r="O205" s="1102" t="s">
        <v>132</v>
      </c>
      <c r="P205" s="1102" t="s">
        <v>1062</v>
      </c>
      <c r="Q205" s="1102" t="s">
        <v>1063</v>
      </c>
      <c r="R205" s="1102" t="s">
        <v>73</v>
      </c>
      <c r="S205" s="1102" t="s">
        <v>967</v>
      </c>
      <c r="T205" s="1102">
        <v>470</v>
      </c>
      <c r="U205" s="1102">
        <v>3456</v>
      </c>
      <c r="V205" s="1102">
        <v>1.62432</v>
      </c>
      <c r="W205" s="1102">
        <v>96</v>
      </c>
      <c r="X205" s="1102">
        <v>4</v>
      </c>
      <c r="Y205" s="1102" t="s">
        <v>75</v>
      </c>
      <c r="Z205" s="1102" t="s">
        <v>75</v>
      </c>
      <c r="AB205" s="1103">
        <v>46064</v>
      </c>
      <c r="AC205" s="1102">
        <v>7</v>
      </c>
      <c r="AD205" s="1102" t="s">
        <v>1064</v>
      </c>
      <c r="AF205" s="1102" t="s">
        <v>122</v>
      </c>
      <c r="AG205" s="1102" t="s">
        <v>123</v>
      </c>
      <c r="AH205" s="1102" t="s">
        <v>105</v>
      </c>
      <c r="AI205" s="1103">
        <v>46071</v>
      </c>
      <c r="AJ205" s="1103">
        <v>46075</v>
      </c>
      <c r="AK205" s="1103">
        <v>46075</v>
      </c>
      <c r="AL205" s="1103">
        <v>46106</v>
      </c>
      <c r="AM205" s="1103">
        <v>46114</v>
      </c>
      <c r="AN205" s="1103">
        <v>46116</v>
      </c>
      <c r="AO205" s="1102" t="s">
        <v>402</v>
      </c>
      <c r="AP205" s="1102" t="s">
        <v>1065</v>
      </c>
      <c r="AQ205" s="1102" t="s">
        <v>80</v>
      </c>
      <c r="AR205" s="1102" t="s">
        <v>1066</v>
      </c>
      <c r="AS205" s="1102" t="s">
        <v>1067</v>
      </c>
      <c r="AT205" s="1102" t="s">
        <v>1067</v>
      </c>
      <c r="AU205" s="1102">
        <v>41</v>
      </c>
      <c r="AW205" s="1103">
        <v>46116</v>
      </c>
      <c r="AX205" s="1102" t="s">
        <v>973</v>
      </c>
      <c r="AY205" s="1103">
        <v>46125</v>
      </c>
      <c r="AZ205" s="1102">
        <v>7</v>
      </c>
      <c r="BA205" s="1103">
        <v>46123</v>
      </c>
      <c r="BB205" s="1102">
        <v>2026</v>
      </c>
      <c r="BC205" s="1102">
        <v>4</v>
      </c>
      <c r="BD205" s="1102">
        <v>15</v>
      </c>
      <c r="BE205" s="1102">
        <v>36</v>
      </c>
      <c r="BF205" s="1102">
        <v>864</v>
      </c>
      <c r="BG205" s="1102" t="s">
        <v>108</v>
      </c>
      <c r="BH205" s="1102" t="s">
        <v>109</v>
      </c>
    </row>
    <row r="206" spans="1:60">
      <c r="A206" s="1102" t="s">
        <v>1068</v>
      </c>
      <c r="B206" s="1102" t="s">
        <v>111</v>
      </c>
      <c r="C206" s="1102" t="s">
        <v>1061</v>
      </c>
      <c r="D206" s="1102" t="s">
        <v>63</v>
      </c>
      <c r="E206" s="1102" t="s">
        <v>64</v>
      </c>
      <c r="F206" s="1102" t="s">
        <v>450</v>
      </c>
      <c r="G206" s="1102" t="s">
        <v>402</v>
      </c>
      <c r="H206" s="1102" t="s">
        <v>451</v>
      </c>
      <c r="I206" s="1102" t="s">
        <v>689</v>
      </c>
      <c r="J206" s="1102" t="s">
        <v>812</v>
      </c>
      <c r="M206" s="1102" t="s">
        <v>68</v>
      </c>
      <c r="N206" s="1102">
        <v>46069</v>
      </c>
      <c r="O206" s="1102" t="s">
        <v>132</v>
      </c>
      <c r="P206" s="1102" t="s">
        <v>1062</v>
      </c>
      <c r="Q206" s="1102" t="s">
        <v>1063</v>
      </c>
      <c r="R206" s="1102" t="s">
        <v>73</v>
      </c>
      <c r="S206" s="1102" t="s">
        <v>967</v>
      </c>
      <c r="T206" s="1102">
        <v>470</v>
      </c>
      <c r="U206" s="1102">
        <v>864</v>
      </c>
      <c r="V206" s="1102">
        <v>0.40608</v>
      </c>
      <c r="W206" s="1102">
        <v>24</v>
      </c>
      <c r="X206" s="1102">
        <v>1</v>
      </c>
      <c r="Y206" s="1102" t="s">
        <v>75</v>
      </c>
      <c r="Z206" s="1102" t="s">
        <v>75</v>
      </c>
      <c r="AB206" s="1103">
        <v>46064</v>
      </c>
      <c r="AC206" s="1102">
        <v>7</v>
      </c>
      <c r="AD206" s="1102" t="s">
        <v>1069</v>
      </c>
      <c r="AF206" s="1102" t="s">
        <v>122</v>
      </c>
      <c r="AG206" s="1102" t="s">
        <v>123</v>
      </c>
      <c r="AH206" s="1102" t="s">
        <v>456</v>
      </c>
      <c r="AI206" s="1103">
        <v>46070</v>
      </c>
      <c r="AJ206" s="1103">
        <v>46079</v>
      </c>
      <c r="AK206" s="1103">
        <v>46079</v>
      </c>
      <c r="AL206" s="1103">
        <v>46110</v>
      </c>
      <c r="AM206" s="1103">
        <v>46124</v>
      </c>
      <c r="AN206" s="1103">
        <v>46124</v>
      </c>
      <c r="AO206" s="1102" t="s">
        <v>402</v>
      </c>
      <c r="AP206" s="1102" t="s">
        <v>1035</v>
      </c>
      <c r="AQ206" s="1102" t="s">
        <v>80</v>
      </c>
      <c r="AR206" s="1102" t="s">
        <v>1070</v>
      </c>
      <c r="AS206" s="1102" t="s">
        <v>1071</v>
      </c>
      <c r="AT206" s="1102" t="s">
        <v>1071</v>
      </c>
      <c r="AU206" s="1102">
        <v>45</v>
      </c>
      <c r="AW206" s="1103">
        <v>46124</v>
      </c>
      <c r="AX206" s="1102" t="s">
        <v>973</v>
      </c>
      <c r="AY206" s="1103">
        <v>46131</v>
      </c>
      <c r="AZ206" s="1102">
        <v>7</v>
      </c>
      <c r="BA206" s="1103">
        <v>46131</v>
      </c>
      <c r="BB206" s="1102">
        <v>2026</v>
      </c>
      <c r="BC206" s="1102">
        <v>4</v>
      </c>
      <c r="BD206" s="1102">
        <v>16</v>
      </c>
      <c r="BE206" s="1102">
        <v>36</v>
      </c>
      <c r="BF206" s="1102">
        <v>864</v>
      </c>
      <c r="BG206" s="1102" t="s">
        <v>108</v>
      </c>
      <c r="BH206" s="1102" t="s">
        <v>109</v>
      </c>
    </row>
    <row r="207" spans="1:60">
      <c r="A207" s="1102" t="s">
        <v>1072</v>
      </c>
      <c r="B207" s="1102" t="s">
        <v>61</v>
      </c>
      <c r="C207" s="1102" t="s">
        <v>203</v>
      </c>
      <c r="D207" s="1102" t="s">
        <v>63</v>
      </c>
      <c r="E207" s="1102" t="s">
        <v>144</v>
      </c>
      <c r="F207" s="1102" t="s">
        <v>145</v>
      </c>
      <c r="G207" s="1102" t="s">
        <v>402</v>
      </c>
      <c r="H207" s="1102" t="s">
        <v>1029</v>
      </c>
      <c r="I207" s="1102" t="s">
        <v>68</v>
      </c>
      <c r="J207" s="1102" t="s">
        <v>1030</v>
      </c>
      <c r="K207" s="1102" t="s">
        <v>1031</v>
      </c>
      <c r="M207" s="1102" t="s">
        <v>840</v>
      </c>
      <c r="N207" s="1102">
        <v>46045</v>
      </c>
      <c r="O207" s="1102" t="s">
        <v>1032</v>
      </c>
      <c r="P207" s="1102" t="s">
        <v>885</v>
      </c>
      <c r="Q207" s="1102" t="s">
        <v>886</v>
      </c>
      <c r="R207" s="1102" t="s">
        <v>73</v>
      </c>
      <c r="S207" s="1102" t="s">
        <v>992</v>
      </c>
      <c r="T207" s="1102">
        <v>615</v>
      </c>
      <c r="U207" s="1102">
        <v>144</v>
      </c>
      <c r="V207" s="1102">
        <v>8.856E-2</v>
      </c>
      <c r="W207" s="1102">
        <v>4</v>
      </c>
      <c r="X207" s="1102">
        <v>0.2</v>
      </c>
      <c r="Y207" s="1102" t="s">
        <v>75</v>
      </c>
      <c r="Z207" s="1102" t="s">
        <v>75</v>
      </c>
      <c r="AB207" s="1103">
        <v>46062</v>
      </c>
      <c r="AC207" s="1102">
        <v>7</v>
      </c>
      <c r="AD207" s="1102" t="s">
        <v>1073</v>
      </c>
      <c r="AF207" s="1102" t="s">
        <v>77</v>
      </c>
      <c r="AG207" s="1102" t="s">
        <v>61</v>
      </c>
      <c r="AH207" s="1102" t="s">
        <v>888</v>
      </c>
      <c r="AI207" s="1103">
        <v>46080</v>
      </c>
      <c r="AJ207" s="1103">
        <v>46081</v>
      </c>
      <c r="AK207" s="1103">
        <v>46081</v>
      </c>
      <c r="AL207" s="1103">
        <v>46141</v>
      </c>
      <c r="AM207" s="1103">
        <v>46148</v>
      </c>
      <c r="AN207" s="1103">
        <v>46147</v>
      </c>
      <c r="AO207" s="1102" t="s">
        <v>402</v>
      </c>
      <c r="AP207" s="1102" t="s">
        <v>850</v>
      </c>
      <c r="AQ207" s="1102" t="s">
        <v>80</v>
      </c>
      <c r="AR207" s="1102" t="s">
        <v>1074</v>
      </c>
      <c r="AS207" s="1102" t="s">
        <v>1075</v>
      </c>
      <c r="AT207" s="1102" t="s">
        <v>1075</v>
      </c>
      <c r="AU207" s="1102">
        <v>66</v>
      </c>
      <c r="AW207" s="1103">
        <v>46147</v>
      </c>
      <c r="AX207" s="1102" t="s">
        <v>973</v>
      </c>
      <c r="AY207" s="1103">
        <v>46154</v>
      </c>
      <c r="AZ207" s="1102">
        <v>0</v>
      </c>
      <c r="BA207" s="1103">
        <v>46147</v>
      </c>
      <c r="BB207" s="1102">
        <v>2026</v>
      </c>
      <c r="BC207" s="1102">
        <v>5</v>
      </c>
      <c r="BD207" s="1102">
        <v>19</v>
      </c>
      <c r="BE207" s="1102">
        <v>36</v>
      </c>
      <c r="BF207" s="1102">
        <v>720</v>
      </c>
      <c r="BG207" s="1102" t="s">
        <v>108</v>
      </c>
      <c r="BH207" s="1102" t="s">
        <v>109</v>
      </c>
    </row>
    <row r="208" spans="1:60">
      <c r="A208" s="1102" t="s">
        <v>1076</v>
      </c>
      <c r="B208" s="1102" t="s">
        <v>61</v>
      </c>
      <c r="C208" s="1102" t="s">
        <v>203</v>
      </c>
      <c r="D208" s="1102" t="s">
        <v>63</v>
      </c>
      <c r="E208" s="1102" t="s">
        <v>144</v>
      </c>
      <c r="F208" s="1102" t="s">
        <v>145</v>
      </c>
      <c r="G208" s="1102" t="s">
        <v>402</v>
      </c>
      <c r="H208" s="1102" t="s">
        <v>1029</v>
      </c>
      <c r="I208" s="1102" t="s">
        <v>68</v>
      </c>
      <c r="J208" s="1102" t="s">
        <v>1030</v>
      </c>
      <c r="K208" s="1102" t="s">
        <v>1031</v>
      </c>
      <c r="M208" s="1102" t="s">
        <v>840</v>
      </c>
      <c r="N208" s="1102">
        <v>46045</v>
      </c>
      <c r="O208" s="1102" t="s">
        <v>1032</v>
      </c>
      <c r="P208" s="1102" t="s">
        <v>1077</v>
      </c>
      <c r="Q208" s="1102" t="s">
        <v>103</v>
      </c>
      <c r="R208" s="1102" t="s">
        <v>73</v>
      </c>
      <c r="S208" s="1102" t="s">
        <v>992</v>
      </c>
      <c r="T208" s="1102">
        <v>620</v>
      </c>
      <c r="U208" s="1102">
        <v>2736</v>
      </c>
      <c r="V208" s="1102">
        <v>1.6963200000000001</v>
      </c>
      <c r="W208" s="1102">
        <v>76</v>
      </c>
      <c r="X208" s="1102">
        <v>3.8</v>
      </c>
      <c r="Y208" s="1102" t="s">
        <v>75</v>
      </c>
      <c r="Z208" s="1102" t="s">
        <v>75</v>
      </c>
      <c r="AB208" s="1103">
        <v>46062</v>
      </c>
      <c r="AC208" s="1102">
        <v>7</v>
      </c>
      <c r="AD208" s="1102" t="s">
        <v>1078</v>
      </c>
      <c r="AF208" s="1102" t="s">
        <v>77</v>
      </c>
      <c r="AG208" s="1102" t="s">
        <v>61</v>
      </c>
      <c r="AH208" s="1102" t="s">
        <v>888</v>
      </c>
      <c r="AI208" s="1103">
        <v>46080</v>
      </c>
      <c r="AJ208" s="1103">
        <v>46081</v>
      </c>
      <c r="AK208" s="1103">
        <v>46081</v>
      </c>
      <c r="AL208" s="1103">
        <v>46141</v>
      </c>
      <c r="AM208" s="1103">
        <v>46148</v>
      </c>
      <c r="AN208" s="1103">
        <v>46147</v>
      </c>
      <c r="AO208" s="1102" t="s">
        <v>402</v>
      </c>
      <c r="AP208" s="1102" t="s">
        <v>850</v>
      </c>
      <c r="AQ208" s="1102" t="s">
        <v>80</v>
      </c>
      <c r="AR208" s="1102" t="s">
        <v>1074</v>
      </c>
      <c r="AS208" s="1102" t="s">
        <v>1075</v>
      </c>
      <c r="AT208" s="1102" t="s">
        <v>1075</v>
      </c>
      <c r="AU208" s="1102">
        <v>66</v>
      </c>
      <c r="AW208" s="1103">
        <v>46147</v>
      </c>
      <c r="AX208" s="1102" t="s">
        <v>973</v>
      </c>
      <c r="AY208" s="1103">
        <v>46154</v>
      </c>
      <c r="AZ208" s="1102">
        <v>0</v>
      </c>
      <c r="BA208" s="1103">
        <v>46147</v>
      </c>
      <c r="BB208" s="1102">
        <v>2026</v>
      </c>
      <c r="BC208" s="1102">
        <v>5</v>
      </c>
      <c r="BD208" s="1102">
        <v>19</v>
      </c>
      <c r="BE208" s="1102">
        <v>36</v>
      </c>
      <c r="BF208" s="1102">
        <v>720</v>
      </c>
      <c r="BG208" s="1102" t="s">
        <v>108</v>
      </c>
      <c r="BH208" s="1102" t="s">
        <v>109</v>
      </c>
    </row>
    <row r="209" spans="1:60">
      <c r="A209" s="1102" t="s">
        <v>1079</v>
      </c>
      <c r="B209" s="1102" t="s">
        <v>61</v>
      </c>
      <c r="C209" s="1102" t="s">
        <v>1021</v>
      </c>
      <c r="D209" s="1102" t="s">
        <v>63</v>
      </c>
      <c r="E209" s="1102" t="s">
        <v>144</v>
      </c>
      <c r="F209" s="1102" t="s">
        <v>145</v>
      </c>
      <c r="G209" s="1102" t="s">
        <v>402</v>
      </c>
      <c r="H209" s="1102" t="s">
        <v>1080</v>
      </c>
      <c r="I209" s="1102" t="s">
        <v>882</v>
      </c>
      <c r="J209" s="1102" t="s">
        <v>1081</v>
      </c>
      <c r="K209" s="1102" t="s">
        <v>1082</v>
      </c>
      <c r="M209" s="1102" t="s">
        <v>840</v>
      </c>
      <c r="N209" s="1102">
        <v>46055</v>
      </c>
      <c r="O209" s="1102" t="s">
        <v>70</v>
      </c>
      <c r="P209" s="1102" t="s">
        <v>965</v>
      </c>
      <c r="Q209" s="1102" t="s">
        <v>966</v>
      </c>
      <c r="R209" s="1102" t="s">
        <v>73</v>
      </c>
      <c r="S209" s="1102" t="s">
        <v>967</v>
      </c>
      <c r="T209" s="1102">
        <v>455</v>
      </c>
      <c r="U209" s="1102">
        <v>1872</v>
      </c>
      <c r="V209" s="1102">
        <v>0.85175999999999996</v>
      </c>
      <c r="W209" s="1102">
        <v>52</v>
      </c>
      <c r="X209" s="1102">
        <v>2</v>
      </c>
      <c r="Y209" s="1102" t="s">
        <v>75</v>
      </c>
      <c r="Z209" s="1102" t="s">
        <v>75</v>
      </c>
      <c r="AB209" s="1103">
        <v>46061</v>
      </c>
      <c r="AC209" s="1102">
        <v>6</v>
      </c>
      <c r="AD209" s="1102" t="s">
        <v>1083</v>
      </c>
      <c r="AF209" s="1102" t="s">
        <v>77</v>
      </c>
      <c r="AG209" s="1102" t="s">
        <v>61</v>
      </c>
      <c r="AH209" s="1102" t="s">
        <v>1084</v>
      </c>
      <c r="AI209" s="1103">
        <v>46070</v>
      </c>
      <c r="AJ209" s="1103">
        <v>46071</v>
      </c>
      <c r="AK209" s="1103">
        <v>46071</v>
      </c>
      <c r="AL209" s="1103">
        <v>46131</v>
      </c>
      <c r="AM209" s="1103">
        <v>46138</v>
      </c>
      <c r="AN209" s="1103">
        <v>46139</v>
      </c>
      <c r="AO209" s="1102" t="s">
        <v>402</v>
      </c>
      <c r="AP209" s="1102" t="s">
        <v>1085</v>
      </c>
      <c r="AQ209" s="1102" t="s">
        <v>161</v>
      </c>
      <c r="AR209" s="1102" t="s">
        <v>1086</v>
      </c>
      <c r="AS209" s="1102" t="s">
        <v>1087</v>
      </c>
      <c r="AT209" s="1102" t="s">
        <v>1087</v>
      </c>
      <c r="AU209" s="1102">
        <v>68</v>
      </c>
      <c r="AW209" s="1103">
        <v>46139</v>
      </c>
      <c r="AX209" s="1102" t="s">
        <v>973</v>
      </c>
      <c r="AY209" s="1103">
        <v>46152</v>
      </c>
      <c r="AZ209" s="1102">
        <v>0</v>
      </c>
      <c r="BA209" s="1103">
        <v>46139</v>
      </c>
      <c r="BB209" s="1102">
        <v>2026</v>
      </c>
      <c r="BC209" s="1102">
        <v>4</v>
      </c>
      <c r="BD209" s="1102">
        <v>18</v>
      </c>
      <c r="BE209" s="1102">
        <v>36</v>
      </c>
      <c r="BF209" s="1102">
        <v>936</v>
      </c>
      <c r="BG209" s="1102" t="s">
        <v>85</v>
      </c>
      <c r="BH209" s="1102" t="s">
        <v>109</v>
      </c>
    </row>
    <row r="210" spans="1:60">
      <c r="A210" s="1102" t="s">
        <v>1088</v>
      </c>
      <c r="B210" s="1102" t="s">
        <v>61</v>
      </c>
      <c r="C210" s="1102" t="s">
        <v>1021</v>
      </c>
      <c r="D210" s="1102" t="s">
        <v>63</v>
      </c>
      <c r="E210" s="1102" t="s">
        <v>144</v>
      </c>
      <c r="F210" s="1102" t="s">
        <v>145</v>
      </c>
      <c r="G210" s="1102" t="s">
        <v>402</v>
      </c>
      <c r="H210" s="1102" t="s">
        <v>1080</v>
      </c>
      <c r="I210" s="1102" t="s">
        <v>882</v>
      </c>
      <c r="J210" s="1102" t="s">
        <v>1081</v>
      </c>
      <c r="K210" s="1102" t="s">
        <v>1082</v>
      </c>
      <c r="M210" s="1102" t="s">
        <v>840</v>
      </c>
      <c r="N210" s="1102">
        <v>46055</v>
      </c>
      <c r="O210" s="1102" t="s">
        <v>70</v>
      </c>
      <c r="P210" s="1102" t="s">
        <v>965</v>
      </c>
      <c r="Q210" s="1102" t="s">
        <v>966</v>
      </c>
      <c r="R210" s="1102" t="s">
        <v>73</v>
      </c>
      <c r="S210" s="1102" t="s">
        <v>967</v>
      </c>
      <c r="T210" s="1102">
        <v>455</v>
      </c>
      <c r="U210" s="1102">
        <v>1872</v>
      </c>
      <c r="V210" s="1102">
        <v>0.85175999999999996</v>
      </c>
      <c r="W210" s="1102">
        <v>52</v>
      </c>
      <c r="X210" s="1102">
        <v>2</v>
      </c>
      <c r="Y210" s="1102" t="s">
        <v>75</v>
      </c>
      <c r="Z210" s="1102" t="s">
        <v>75</v>
      </c>
      <c r="AB210" s="1103">
        <v>46061</v>
      </c>
      <c r="AC210" s="1102">
        <v>6</v>
      </c>
      <c r="AD210" s="1102" t="s">
        <v>1089</v>
      </c>
      <c r="AF210" s="1102" t="s">
        <v>77</v>
      </c>
      <c r="AG210" s="1102" t="s">
        <v>61</v>
      </c>
      <c r="AH210" s="1102" t="s">
        <v>1084</v>
      </c>
      <c r="AI210" s="1103">
        <v>46070</v>
      </c>
      <c r="AJ210" s="1103">
        <v>46071</v>
      </c>
      <c r="AK210" s="1103">
        <v>46071</v>
      </c>
      <c r="AL210" s="1103">
        <v>46131</v>
      </c>
      <c r="AM210" s="1103">
        <v>46138</v>
      </c>
      <c r="AN210" s="1103">
        <v>46139</v>
      </c>
      <c r="AO210" s="1102" t="s">
        <v>402</v>
      </c>
      <c r="AP210" s="1102" t="s">
        <v>1085</v>
      </c>
      <c r="AQ210" s="1102" t="s">
        <v>161</v>
      </c>
      <c r="AR210" s="1102" t="s">
        <v>1086</v>
      </c>
      <c r="AS210" s="1102" t="s">
        <v>1087</v>
      </c>
      <c r="AT210" s="1102" t="s">
        <v>1087</v>
      </c>
      <c r="AU210" s="1102">
        <v>68</v>
      </c>
      <c r="AW210" s="1103">
        <v>46139</v>
      </c>
      <c r="AX210" s="1102" t="s">
        <v>973</v>
      </c>
      <c r="AY210" s="1103">
        <v>46152</v>
      </c>
      <c r="AZ210" s="1102">
        <v>0</v>
      </c>
      <c r="BA210" s="1103">
        <v>46139</v>
      </c>
      <c r="BB210" s="1102">
        <v>2026</v>
      </c>
      <c r="BC210" s="1102">
        <v>4</v>
      </c>
      <c r="BD210" s="1102">
        <v>18</v>
      </c>
      <c r="BE210" s="1102">
        <v>36</v>
      </c>
      <c r="BF210" s="1102">
        <v>936</v>
      </c>
      <c r="BG210" s="1102" t="s">
        <v>85</v>
      </c>
      <c r="BH210" s="1102" t="s">
        <v>109</v>
      </c>
    </row>
    <row r="211" spans="1:60">
      <c r="A211" s="1102" t="s">
        <v>1090</v>
      </c>
      <c r="B211" s="1102" t="s">
        <v>111</v>
      </c>
      <c r="C211" s="1102" t="s">
        <v>1091</v>
      </c>
      <c r="D211" s="1102" t="s">
        <v>63</v>
      </c>
      <c r="E211" s="1102" t="s">
        <v>64</v>
      </c>
      <c r="F211" s="1102" t="s">
        <v>100</v>
      </c>
      <c r="G211" s="1102" t="s">
        <v>402</v>
      </c>
      <c r="H211" s="1102" t="s">
        <v>67</v>
      </c>
      <c r="I211" s="1102" t="s">
        <v>822</v>
      </c>
      <c r="J211" s="1102" t="s">
        <v>293</v>
      </c>
      <c r="M211" s="1102" t="s">
        <v>68</v>
      </c>
      <c r="N211" s="1102">
        <v>46069</v>
      </c>
      <c r="O211" s="1102" t="s">
        <v>132</v>
      </c>
      <c r="P211" s="1102" t="s">
        <v>189</v>
      </c>
      <c r="Q211" s="1102" t="s">
        <v>190</v>
      </c>
      <c r="R211" s="1102" t="s">
        <v>73</v>
      </c>
      <c r="S211" s="1102" t="s">
        <v>967</v>
      </c>
      <c r="T211" s="1102">
        <v>465</v>
      </c>
      <c r="U211" s="1102">
        <v>4320</v>
      </c>
      <c r="V211" s="1102">
        <v>2.0087999999999999</v>
      </c>
      <c r="W211" s="1102">
        <v>120</v>
      </c>
      <c r="X211" s="1102">
        <v>5</v>
      </c>
      <c r="Y211" s="1102" t="s">
        <v>75</v>
      </c>
      <c r="Z211" s="1102" t="s">
        <v>75</v>
      </c>
      <c r="AB211" s="1103">
        <v>46073</v>
      </c>
      <c r="AC211" s="1102">
        <v>8</v>
      </c>
      <c r="AD211" s="1102" t="s">
        <v>1092</v>
      </c>
      <c r="AF211" s="1102" t="s">
        <v>122</v>
      </c>
      <c r="AG211" s="1102" t="s">
        <v>123</v>
      </c>
      <c r="AH211" s="1102" t="s">
        <v>105</v>
      </c>
      <c r="AI211" s="1103">
        <v>46076</v>
      </c>
      <c r="AJ211" s="1103">
        <v>46076</v>
      </c>
      <c r="AK211" s="1103">
        <v>46076</v>
      </c>
      <c r="AL211" s="1103">
        <v>46113</v>
      </c>
      <c r="AM211" s="1103">
        <v>46122</v>
      </c>
      <c r="AN211" s="1103">
        <v>46122</v>
      </c>
      <c r="AO211" s="1102" t="s">
        <v>402</v>
      </c>
      <c r="AQ211" s="1102" t="s">
        <v>80</v>
      </c>
      <c r="AR211" s="1102" t="s">
        <v>1093</v>
      </c>
      <c r="AS211" s="1102" t="s">
        <v>1094</v>
      </c>
      <c r="AT211" s="1102" t="s">
        <v>1094</v>
      </c>
      <c r="AU211" s="1102">
        <v>46</v>
      </c>
      <c r="AW211" s="1103">
        <v>46122</v>
      </c>
      <c r="AX211" s="1102" t="s">
        <v>973</v>
      </c>
      <c r="AY211" s="1103">
        <v>46131</v>
      </c>
      <c r="AZ211" s="1102">
        <v>7</v>
      </c>
      <c r="BA211" s="1103">
        <v>46129</v>
      </c>
      <c r="BB211" s="1102">
        <v>2026</v>
      </c>
      <c r="BC211" s="1102">
        <v>4</v>
      </c>
      <c r="BD211" s="1102">
        <v>16</v>
      </c>
      <c r="BE211" s="1102">
        <v>36</v>
      </c>
      <c r="BF211" s="1102">
        <v>864</v>
      </c>
      <c r="BG211" s="1102" t="s">
        <v>108</v>
      </c>
      <c r="BH211" s="1102" t="s">
        <v>109</v>
      </c>
    </row>
    <row r="212" spans="1:60">
      <c r="A212" s="1102" t="s">
        <v>1095</v>
      </c>
      <c r="B212" s="1102" t="s">
        <v>111</v>
      </c>
      <c r="C212" s="1102" t="s">
        <v>1061</v>
      </c>
      <c r="D212" s="1102" t="s">
        <v>63</v>
      </c>
      <c r="E212" s="1102" t="s">
        <v>64</v>
      </c>
      <c r="F212" s="1102" t="s">
        <v>100</v>
      </c>
      <c r="G212" s="1102" t="s">
        <v>402</v>
      </c>
      <c r="H212" s="1102" t="s">
        <v>67</v>
      </c>
      <c r="I212" s="1102" t="s">
        <v>822</v>
      </c>
      <c r="J212" s="1102" t="s">
        <v>1096</v>
      </c>
      <c r="M212" s="1102" t="s">
        <v>68</v>
      </c>
      <c r="N212" s="1102">
        <v>46069</v>
      </c>
      <c r="O212" s="1102" t="s">
        <v>132</v>
      </c>
      <c r="P212" s="1102" t="s">
        <v>1062</v>
      </c>
      <c r="Q212" s="1102" t="s">
        <v>1063</v>
      </c>
      <c r="R212" s="1102" t="s">
        <v>73</v>
      </c>
      <c r="S212" s="1102" t="s">
        <v>967</v>
      </c>
      <c r="T212" s="1102">
        <v>470</v>
      </c>
      <c r="U212" s="1102">
        <v>4320</v>
      </c>
      <c r="V212" s="1102">
        <v>2.0304000000000002</v>
      </c>
      <c r="W212" s="1102">
        <v>120</v>
      </c>
      <c r="X212" s="1102">
        <v>5</v>
      </c>
      <c r="Y212" s="1102" t="s">
        <v>75</v>
      </c>
      <c r="Z212" s="1102" t="s">
        <v>75</v>
      </c>
      <c r="AB212" s="1103">
        <v>46073</v>
      </c>
      <c r="AC212" s="1102">
        <v>8</v>
      </c>
      <c r="AD212" s="1102" t="s">
        <v>1097</v>
      </c>
      <c r="AF212" s="1102" t="s">
        <v>122</v>
      </c>
      <c r="AG212" s="1102" t="s">
        <v>123</v>
      </c>
      <c r="AH212" s="1102" t="s">
        <v>105</v>
      </c>
      <c r="AI212" s="1103">
        <v>46076</v>
      </c>
      <c r="AJ212" s="1103">
        <v>46076</v>
      </c>
      <c r="AK212" s="1103">
        <v>46076</v>
      </c>
      <c r="AL212" s="1103">
        <v>46113</v>
      </c>
      <c r="AM212" s="1103">
        <v>46122</v>
      </c>
      <c r="AN212" s="1103">
        <v>46122</v>
      </c>
      <c r="AO212" s="1102" t="s">
        <v>402</v>
      </c>
      <c r="AQ212" s="1102" t="s">
        <v>80</v>
      </c>
      <c r="AR212" s="1102" t="s">
        <v>1093</v>
      </c>
      <c r="AS212" s="1102" t="s">
        <v>1094</v>
      </c>
      <c r="AT212" s="1102" t="s">
        <v>1094</v>
      </c>
      <c r="AU212" s="1102">
        <v>46</v>
      </c>
      <c r="AW212" s="1103">
        <v>46122</v>
      </c>
      <c r="AX212" s="1102" t="s">
        <v>973</v>
      </c>
      <c r="AY212" s="1103">
        <v>46131</v>
      </c>
      <c r="AZ212" s="1102">
        <v>7</v>
      </c>
      <c r="BA212" s="1103">
        <v>46129</v>
      </c>
      <c r="BB212" s="1102">
        <v>2026</v>
      </c>
      <c r="BC212" s="1102">
        <v>4</v>
      </c>
      <c r="BD212" s="1102">
        <v>16</v>
      </c>
      <c r="BE212" s="1102">
        <v>36</v>
      </c>
      <c r="BF212" s="1102">
        <v>864</v>
      </c>
      <c r="BG212" s="1102" t="s">
        <v>108</v>
      </c>
      <c r="BH212" s="1102" t="s">
        <v>109</v>
      </c>
    </row>
    <row r="213" spans="1:60">
      <c r="A213" s="1102" t="s">
        <v>1098</v>
      </c>
      <c r="B213" s="1102" t="s">
        <v>111</v>
      </c>
      <c r="C213" s="1102" t="s">
        <v>1061</v>
      </c>
      <c r="D213" s="1102" t="s">
        <v>63</v>
      </c>
      <c r="E213" s="1102" t="s">
        <v>64</v>
      </c>
      <c r="F213" s="1102" t="s">
        <v>100</v>
      </c>
      <c r="G213" s="1102" t="s">
        <v>402</v>
      </c>
      <c r="H213" s="1102" t="s">
        <v>67</v>
      </c>
      <c r="I213" s="1102" t="s">
        <v>869</v>
      </c>
      <c r="J213" s="1102" t="s">
        <v>101</v>
      </c>
      <c r="M213" s="1102" t="s">
        <v>68</v>
      </c>
      <c r="N213" s="1102">
        <v>46069</v>
      </c>
      <c r="O213" s="1102" t="s">
        <v>132</v>
      </c>
      <c r="P213" s="1102" t="s">
        <v>1062</v>
      </c>
      <c r="Q213" s="1102" t="s">
        <v>1063</v>
      </c>
      <c r="R213" s="1102" t="s">
        <v>73</v>
      </c>
      <c r="S213" s="1102" t="s">
        <v>967</v>
      </c>
      <c r="T213" s="1102">
        <v>470</v>
      </c>
      <c r="U213" s="1102">
        <v>3456</v>
      </c>
      <c r="V213" s="1102">
        <v>1.62432</v>
      </c>
      <c r="W213" s="1102">
        <v>96</v>
      </c>
      <c r="X213" s="1102">
        <v>4</v>
      </c>
      <c r="Y213" s="1102" t="s">
        <v>75</v>
      </c>
      <c r="Z213" s="1102" t="s">
        <v>75</v>
      </c>
      <c r="AB213" s="1103">
        <v>46066</v>
      </c>
      <c r="AC213" s="1102">
        <v>7</v>
      </c>
      <c r="AD213" s="1102" t="s">
        <v>1099</v>
      </c>
      <c r="AF213" s="1102" t="s">
        <v>122</v>
      </c>
      <c r="AG213" s="1102" t="s">
        <v>123</v>
      </c>
      <c r="AH213" s="1102" t="s">
        <v>105</v>
      </c>
      <c r="AI213" s="1103">
        <v>46076</v>
      </c>
      <c r="AJ213" s="1103">
        <v>46076</v>
      </c>
      <c r="AK213" s="1103">
        <v>46076</v>
      </c>
      <c r="AL213" s="1103">
        <v>46113</v>
      </c>
      <c r="AM213" s="1103">
        <v>46122</v>
      </c>
      <c r="AN213" s="1103">
        <v>46122</v>
      </c>
      <c r="AO213" s="1102" t="s">
        <v>402</v>
      </c>
      <c r="AQ213" s="1102" t="s">
        <v>80</v>
      </c>
      <c r="AR213" s="1102" t="s">
        <v>1100</v>
      </c>
      <c r="AS213" s="1102" t="s">
        <v>1101</v>
      </c>
      <c r="AT213" s="1102" t="s">
        <v>1101</v>
      </c>
      <c r="AU213" s="1102">
        <v>46</v>
      </c>
      <c r="AW213" s="1103">
        <v>46122</v>
      </c>
      <c r="AX213" s="1102" t="s">
        <v>973</v>
      </c>
      <c r="AY213" s="1103">
        <v>46131</v>
      </c>
      <c r="AZ213" s="1102">
        <v>7</v>
      </c>
      <c r="BA213" s="1103">
        <v>46129</v>
      </c>
      <c r="BB213" s="1102">
        <v>2026</v>
      </c>
      <c r="BC213" s="1102">
        <v>4</v>
      </c>
      <c r="BD213" s="1102">
        <v>16</v>
      </c>
      <c r="BE213" s="1102">
        <v>36</v>
      </c>
      <c r="BF213" s="1102">
        <v>864</v>
      </c>
      <c r="BG213" s="1102" t="s">
        <v>108</v>
      </c>
      <c r="BH213" s="1102" t="s">
        <v>109</v>
      </c>
    </row>
    <row r="214" spans="1:60">
      <c r="A214" s="1102" t="s">
        <v>1102</v>
      </c>
      <c r="B214" s="1102" t="s">
        <v>111</v>
      </c>
      <c r="C214" s="1102" t="s">
        <v>203</v>
      </c>
      <c r="D214" s="1102" t="s">
        <v>63</v>
      </c>
      <c r="E214" s="1102" t="s">
        <v>64</v>
      </c>
      <c r="F214" s="1102" t="s">
        <v>100</v>
      </c>
      <c r="G214" s="1102" t="s">
        <v>402</v>
      </c>
      <c r="H214" s="1102" t="s">
        <v>67</v>
      </c>
      <c r="I214" s="1102" t="s">
        <v>882</v>
      </c>
      <c r="J214" s="1102" t="s">
        <v>1103</v>
      </c>
      <c r="M214" s="1102" t="s">
        <v>68</v>
      </c>
      <c r="N214" s="1102">
        <v>46045</v>
      </c>
      <c r="O214" s="1102" t="s">
        <v>713</v>
      </c>
      <c r="P214" s="1102" t="s">
        <v>1104</v>
      </c>
      <c r="Q214" s="1102" t="s">
        <v>1105</v>
      </c>
      <c r="R214" s="1102" t="s">
        <v>73</v>
      </c>
      <c r="S214" s="1102" t="s">
        <v>992</v>
      </c>
      <c r="T214" s="1102">
        <v>455</v>
      </c>
      <c r="U214" s="1102">
        <v>288</v>
      </c>
      <c r="V214" s="1102">
        <v>0.13103999999999999</v>
      </c>
      <c r="W214" s="1102">
        <v>8</v>
      </c>
      <c r="X214" s="1102">
        <v>0.33333333333333331</v>
      </c>
      <c r="Y214" s="1102" t="s">
        <v>75</v>
      </c>
      <c r="Z214" s="1102" t="s">
        <v>75</v>
      </c>
      <c r="AB214" s="1103">
        <v>46066</v>
      </c>
      <c r="AC214" s="1102">
        <v>7</v>
      </c>
      <c r="AD214" s="1102" t="s">
        <v>1106</v>
      </c>
      <c r="AF214" s="1102" t="s">
        <v>122</v>
      </c>
      <c r="AG214" s="1102" t="s">
        <v>123</v>
      </c>
      <c r="AH214" s="1102" t="s">
        <v>105</v>
      </c>
      <c r="AI214" s="1103">
        <v>46076</v>
      </c>
      <c r="AJ214" s="1103">
        <v>46076</v>
      </c>
      <c r="AK214" s="1103">
        <v>46076</v>
      </c>
      <c r="AL214" s="1103">
        <v>46113</v>
      </c>
      <c r="AM214" s="1103">
        <v>46122</v>
      </c>
      <c r="AN214" s="1103">
        <v>46122</v>
      </c>
      <c r="AO214" s="1102" t="s">
        <v>402</v>
      </c>
      <c r="AQ214" s="1102" t="s">
        <v>80</v>
      </c>
      <c r="AR214" s="1102" t="s">
        <v>1100</v>
      </c>
      <c r="AS214" s="1102" t="s">
        <v>1101</v>
      </c>
      <c r="AT214" s="1102" t="s">
        <v>1101</v>
      </c>
      <c r="AU214" s="1102">
        <v>46</v>
      </c>
      <c r="AW214" s="1103">
        <v>46122</v>
      </c>
      <c r="AX214" s="1102" t="s">
        <v>973</v>
      </c>
      <c r="AY214" s="1103">
        <v>46131</v>
      </c>
      <c r="AZ214" s="1102">
        <v>7</v>
      </c>
      <c r="BA214" s="1103">
        <v>46129</v>
      </c>
      <c r="BB214" s="1102">
        <v>2026</v>
      </c>
      <c r="BC214" s="1102">
        <v>4</v>
      </c>
      <c r="BD214" s="1102">
        <v>16</v>
      </c>
      <c r="BE214" s="1102">
        <v>36</v>
      </c>
      <c r="BF214" s="1102">
        <v>864</v>
      </c>
      <c r="BG214" s="1102" t="s">
        <v>108</v>
      </c>
      <c r="BH214" s="1102" t="s">
        <v>109</v>
      </c>
    </row>
    <row r="215" spans="1:60">
      <c r="A215" s="1102" t="s">
        <v>1107</v>
      </c>
      <c r="B215" s="1102" t="s">
        <v>111</v>
      </c>
      <c r="C215" s="1102" t="s">
        <v>203</v>
      </c>
      <c r="D215" s="1102" t="s">
        <v>63</v>
      </c>
      <c r="E215" s="1102" t="s">
        <v>64</v>
      </c>
      <c r="F215" s="1102" t="s">
        <v>100</v>
      </c>
      <c r="G215" s="1102" t="s">
        <v>402</v>
      </c>
      <c r="H215" s="1102" t="s">
        <v>67</v>
      </c>
      <c r="I215" s="1102" t="s">
        <v>882</v>
      </c>
      <c r="J215" s="1102" t="s">
        <v>1108</v>
      </c>
      <c r="M215" s="1102" t="s">
        <v>68</v>
      </c>
      <c r="N215" s="1102">
        <v>46045</v>
      </c>
      <c r="O215" s="1102" t="s">
        <v>713</v>
      </c>
      <c r="P215" s="1102" t="s">
        <v>1109</v>
      </c>
      <c r="Q215" s="1102" t="s">
        <v>454</v>
      </c>
      <c r="R215" s="1102" t="s">
        <v>73</v>
      </c>
      <c r="S215" s="1102" t="s">
        <v>992</v>
      </c>
      <c r="T215" s="1102">
        <v>460</v>
      </c>
      <c r="U215" s="1102">
        <v>576</v>
      </c>
      <c r="V215" s="1102">
        <v>0.26495999999999997</v>
      </c>
      <c r="W215" s="1102">
        <v>16</v>
      </c>
      <c r="X215" s="1102">
        <v>0.66666666666666663</v>
      </c>
      <c r="Y215" s="1102" t="s">
        <v>75</v>
      </c>
      <c r="Z215" s="1102" t="s">
        <v>75</v>
      </c>
      <c r="AB215" s="1103">
        <v>46066</v>
      </c>
      <c r="AC215" s="1102">
        <v>7</v>
      </c>
      <c r="AD215" s="1102" t="s">
        <v>1110</v>
      </c>
      <c r="AF215" s="1102" t="s">
        <v>122</v>
      </c>
      <c r="AG215" s="1102" t="s">
        <v>123</v>
      </c>
      <c r="AH215" s="1102" t="s">
        <v>105</v>
      </c>
      <c r="AI215" s="1103">
        <v>46076</v>
      </c>
      <c r="AJ215" s="1103">
        <v>46076</v>
      </c>
      <c r="AK215" s="1103">
        <v>46076</v>
      </c>
      <c r="AL215" s="1103">
        <v>46113</v>
      </c>
      <c r="AM215" s="1103">
        <v>46122</v>
      </c>
      <c r="AN215" s="1103">
        <v>46122</v>
      </c>
      <c r="AO215" s="1102" t="s">
        <v>402</v>
      </c>
      <c r="AQ215" s="1102" t="s">
        <v>80</v>
      </c>
      <c r="AR215" s="1102" t="s">
        <v>1100</v>
      </c>
      <c r="AS215" s="1102" t="s">
        <v>1101</v>
      </c>
      <c r="AT215" s="1102" t="s">
        <v>1101</v>
      </c>
      <c r="AU215" s="1102">
        <v>46</v>
      </c>
      <c r="AW215" s="1103">
        <v>46122</v>
      </c>
      <c r="AX215" s="1102" t="s">
        <v>973</v>
      </c>
      <c r="AY215" s="1103">
        <v>46131</v>
      </c>
      <c r="AZ215" s="1102">
        <v>7</v>
      </c>
      <c r="BA215" s="1103">
        <v>46129</v>
      </c>
      <c r="BB215" s="1102">
        <v>2026</v>
      </c>
      <c r="BC215" s="1102">
        <v>4</v>
      </c>
      <c r="BD215" s="1102">
        <v>16</v>
      </c>
      <c r="BE215" s="1102">
        <v>36</v>
      </c>
      <c r="BF215" s="1102">
        <v>864</v>
      </c>
      <c r="BG215" s="1102" t="s">
        <v>108</v>
      </c>
      <c r="BH215" s="1102" t="s">
        <v>109</v>
      </c>
    </row>
    <row r="216" spans="1:60">
      <c r="A216" s="1102" t="s">
        <v>1111</v>
      </c>
      <c r="B216" s="1102" t="s">
        <v>111</v>
      </c>
      <c r="C216" s="1102" t="s">
        <v>1091</v>
      </c>
      <c r="D216" s="1102" t="s">
        <v>63</v>
      </c>
      <c r="E216" s="1102" t="s">
        <v>64</v>
      </c>
      <c r="F216" s="1102" t="s">
        <v>450</v>
      </c>
      <c r="G216" s="1102" t="s">
        <v>402</v>
      </c>
      <c r="H216" s="1102" t="s">
        <v>451</v>
      </c>
      <c r="I216" s="1102" t="s">
        <v>822</v>
      </c>
      <c r="J216" s="1102" t="s">
        <v>1112</v>
      </c>
      <c r="K216" s="1102" t="s">
        <v>1113</v>
      </c>
      <c r="M216" s="1102" t="s">
        <v>68</v>
      </c>
      <c r="N216" s="1102">
        <v>46055</v>
      </c>
      <c r="O216" s="1102" t="s">
        <v>132</v>
      </c>
      <c r="P216" s="1102" t="s">
        <v>189</v>
      </c>
      <c r="Q216" s="1102" t="s">
        <v>190</v>
      </c>
      <c r="R216" s="1102" t="s">
        <v>73</v>
      </c>
      <c r="S216" s="1102" t="s">
        <v>967</v>
      </c>
      <c r="T216" s="1102">
        <v>465</v>
      </c>
      <c r="U216" s="1102">
        <v>1728</v>
      </c>
      <c r="V216" s="1102">
        <v>0.80352000000000001</v>
      </c>
      <c r="W216" s="1102">
        <v>48</v>
      </c>
      <c r="X216" s="1102">
        <v>2</v>
      </c>
      <c r="Y216" s="1102" t="s">
        <v>75</v>
      </c>
      <c r="Z216" s="1102" t="s">
        <v>75</v>
      </c>
      <c r="AB216" s="1103">
        <v>46073</v>
      </c>
      <c r="AC216" s="1102">
        <v>8</v>
      </c>
      <c r="AD216" s="1102" t="s">
        <v>1114</v>
      </c>
      <c r="AF216" s="1102" t="s">
        <v>122</v>
      </c>
      <c r="AG216" s="1102" t="s">
        <v>123</v>
      </c>
      <c r="AH216" s="1102" t="s">
        <v>456</v>
      </c>
      <c r="AI216" s="1103">
        <v>46076</v>
      </c>
      <c r="AJ216" s="1103">
        <v>46079</v>
      </c>
      <c r="AK216" s="1103">
        <v>46079</v>
      </c>
      <c r="AL216" s="1103">
        <v>46117</v>
      </c>
      <c r="AM216" s="1103">
        <v>46124</v>
      </c>
      <c r="AN216" s="1103">
        <v>46124</v>
      </c>
      <c r="AO216" s="1102" t="s">
        <v>402</v>
      </c>
      <c r="AQ216" s="1102" t="s">
        <v>80</v>
      </c>
      <c r="AR216" s="1102" t="s">
        <v>1115</v>
      </c>
      <c r="AS216" s="1102" t="s">
        <v>1116</v>
      </c>
      <c r="AT216" s="1102" t="s">
        <v>1116</v>
      </c>
      <c r="AU216" s="1102">
        <v>45</v>
      </c>
      <c r="AW216" s="1103">
        <v>46124</v>
      </c>
      <c r="AX216" s="1102" t="s">
        <v>973</v>
      </c>
      <c r="AY216" s="1103">
        <v>46131</v>
      </c>
      <c r="AZ216" s="1102">
        <v>7</v>
      </c>
      <c r="BA216" s="1103">
        <v>46131</v>
      </c>
      <c r="BB216" s="1102">
        <v>2026</v>
      </c>
      <c r="BC216" s="1102">
        <v>4</v>
      </c>
      <c r="BD216" s="1102">
        <v>16</v>
      </c>
      <c r="BE216" s="1102">
        <v>36</v>
      </c>
      <c r="BF216" s="1102">
        <v>864</v>
      </c>
      <c r="BG216" s="1102" t="s">
        <v>108</v>
      </c>
      <c r="BH216" s="1102" t="s">
        <v>109</v>
      </c>
    </row>
    <row r="217" spans="1:60">
      <c r="A217" s="1102" t="s">
        <v>1117</v>
      </c>
      <c r="B217" s="1102" t="s">
        <v>111</v>
      </c>
      <c r="C217" s="1102" t="s">
        <v>1061</v>
      </c>
      <c r="D217" s="1102" t="s">
        <v>63</v>
      </c>
      <c r="E217" s="1102" t="s">
        <v>64</v>
      </c>
      <c r="F217" s="1102" t="s">
        <v>450</v>
      </c>
      <c r="G217" s="1102" t="s">
        <v>402</v>
      </c>
      <c r="H217" s="1102" t="s">
        <v>451</v>
      </c>
      <c r="I217" s="1102" t="s">
        <v>822</v>
      </c>
      <c r="J217" s="1102" t="s">
        <v>1112</v>
      </c>
      <c r="K217" s="1102" t="s">
        <v>1113</v>
      </c>
      <c r="M217" s="1102" t="s">
        <v>68</v>
      </c>
      <c r="N217" s="1102">
        <v>46069</v>
      </c>
      <c r="O217" s="1102" t="s">
        <v>132</v>
      </c>
      <c r="P217" s="1102" t="s">
        <v>1062</v>
      </c>
      <c r="Q217" s="1102" t="s">
        <v>1063</v>
      </c>
      <c r="R217" s="1102" t="s">
        <v>73</v>
      </c>
      <c r="S217" s="1102" t="s">
        <v>967</v>
      </c>
      <c r="T217" s="1102">
        <v>470</v>
      </c>
      <c r="U217" s="1102">
        <v>2592</v>
      </c>
      <c r="V217" s="1102">
        <v>1.21824</v>
      </c>
      <c r="W217" s="1102">
        <v>72</v>
      </c>
      <c r="X217" s="1102">
        <v>3</v>
      </c>
      <c r="Y217" s="1102" t="s">
        <v>75</v>
      </c>
      <c r="Z217" s="1102" t="s">
        <v>75</v>
      </c>
      <c r="AB217" s="1103">
        <v>46073</v>
      </c>
      <c r="AC217" s="1102">
        <v>8</v>
      </c>
      <c r="AD217" s="1102" t="s">
        <v>1118</v>
      </c>
      <c r="AF217" s="1102" t="s">
        <v>122</v>
      </c>
      <c r="AG217" s="1102" t="s">
        <v>123</v>
      </c>
      <c r="AH217" s="1102" t="s">
        <v>456</v>
      </c>
      <c r="AI217" s="1103">
        <v>46076</v>
      </c>
      <c r="AJ217" s="1103">
        <v>46079</v>
      </c>
      <c r="AK217" s="1103">
        <v>46079</v>
      </c>
      <c r="AL217" s="1103">
        <v>46117</v>
      </c>
      <c r="AM217" s="1103">
        <v>46124</v>
      </c>
      <c r="AN217" s="1103">
        <v>46124</v>
      </c>
      <c r="AO217" s="1102" t="s">
        <v>402</v>
      </c>
      <c r="AQ217" s="1102" t="s">
        <v>80</v>
      </c>
      <c r="AR217" s="1102" t="s">
        <v>1115</v>
      </c>
      <c r="AS217" s="1102" t="s">
        <v>1116</v>
      </c>
      <c r="AT217" s="1102" t="s">
        <v>1116</v>
      </c>
      <c r="AU217" s="1102">
        <v>45</v>
      </c>
      <c r="AW217" s="1103">
        <v>46124</v>
      </c>
      <c r="AX217" s="1102" t="s">
        <v>973</v>
      </c>
      <c r="AY217" s="1103">
        <v>46138</v>
      </c>
      <c r="AZ217" s="1102">
        <v>7</v>
      </c>
      <c r="BA217" s="1103">
        <v>46131</v>
      </c>
      <c r="BB217" s="1102">
        <v>2026</v>
      </c>
      <c r="BC217" s="1102">
        <v>4</v>
      </c>
      <c r="BD217" s="1102">
        <v>16</v>
      </c>
      <c r="BE217" s="1102">
        <v>36</v>
      </c>
      <c r="BF217" s="1102">
        <v>864</v>
      </c>
      <c r="BG217" s="1102" t="s">
        <v>108</v>
      </c>
      <c r="BH217" s="1102" t="s">
        <v>109</v>
      </c>
    </row>
    <row r="218" spans="1:60">
      <c r="A218" s="1102" t="s">
        <v>1119</v>
      </c>
      <c r="B218" s="1102" t="s">
        <v>111</v>
      </c>
      <c r="C218" s="1102" t="s">
        <v>1061</v>
      </c>
      <c r="D218" s="1102" t="s">
        <v>63</v>
      </c>
      <c r="E218" s="1102" t="s">
        <v>64</v>
      </c>
      <c r="F218" s="1102" t="s">
        <v>65</v>
      </c>
      <c r="G218" s="1102" t="s">
        <v>402</v>
      </c>
      <c r="H218" s="1102" t="s">
        <v>67</v>
      </c>
      <c r="I218" s="1102" t="s">
        <v>869</v>
      </c>
      <c r="J218" s="1102" t="s">
        <v>1008</v>
      </c>
      <c r="M218" s="1102" t="s">
        <v>68</v>
      </c>
      <c r="N218" s="1102">
        <v>46055</v>
      </c>
      <c r="O218" s="1102" t="s">
        <v>132</v>
      </c>
      <c r="P218" s="1102" t="s">
        <v>1062</v>
      </c>
      <c r="Q218" s="1102" t="s">
        <v>1063</v>
      </c>
      <c r="R218" s="1102" t="s">
        <v>73</v>
      </c>
      <c r="S218" s="1102" t="s">
        <v>967</v>
      </c>
      <c r="T218" s="1102">
        <v>470</v>
      </c>
      <c r="U218" s="1102">
        <v>6048</v>
      </c>
      <c r="V218" s="1102">
        <v>2.8425600000000002</v>
      </c>
      <c r="W218" s="1102">
        <v>168</v>
      </c>
      <c r="X218" s="1102">
        <v>7</v>
      </c>
      <c r="Y218" s="1102" t="s">
        <v>75</v>
      </c>
      <c r="Z218" s="1102" t="s">
        <v>75</v>
      </c>
      <c r="AB218" s="1103">
        <v>46072</v>
      </c>
      <c r="AC218" s="1102">
        <v>8</v>
      </c>
      <c r="AD218" s="1102" t="s">
        <v>1120</v>
      </c>
      <c r="AF218" s="1102" t="s">
        <v>122</v>
      </c>
      <c r="AG218" s="1102" t="s">
        <v>123</v>
      </c>
      <c r="AH218" s="1102" t="s">
        <v>78</v>
      </c>
      <c r="AI218" s="1103">
        <v>46076</v>
      </c>
      <c r="AJ218" s="1103">
        <v>46078</v>
      </c>
      <c r="AK218" s="1103">
        <v>46078</v>
      </c>
      <c r="AL218" s="1103">
        <v>46125</v>
      </c>
      <c r="AM218" s="1103">
        <v>46136</v>
      </c>
      <c r="AN218" s="1103">
        <v>46137</v>
      </c>
      <c r="AO218" s="1102" t="s">
        <v>402</v>
      </c>
      <c r="AQ218" s="1102" t="s">
        <v>80</v>
      </c>
      <c r="AR218" s="1102" t="s">
        <v>1121</v>
      </c>
      <c r="AS218" s="1102" t="s">
        <v>1122</v>
      </c>
      <c r="AT218" s="1102" t="s">
        <v>1122</v>
      </c>
      <c r="AU218" s="1102">
        <v>59</v>
      </c>
      <c r="AW218" s="1103">
        <v>46137</v>
      </c>
      <c r="AX218" s="1102" t="s">
        <v>973</v>
      </c>
      <c r="AY218" s="1103">
        <v>46149</v>
      </c>
      <c r="AZ218" s="1102">
        <v>8</v>
      </c>
      <c r="BA218" s="1103">
        <v>46145</v>
      </c>
      <c r="BB218" s="1102">
        <v>2026</v>
      </c>
      <c r="BC218" s="1102">
        <v>5</v>
      </c>
      <c r="BD218" s="1102">
        <v>18</v>
      </c>
      <c r="BE218" s="1102">
        <v>36</v>
      </c>
      <c r="BF218" s="1102">
        <v>864</v>
      </c>
      <c r="BG218" s="1102" t="s">
        <v>108</v>
      </c>
      <c r="BH218" s="1102" t="s">
        <v>86</v>
      </c>
    </row>
    <row r="219" spans="1:60">
      <c r="A219" s="1102" t="s">
        <v>1123</v>
      </c>
      <c r="B219" s="1102" t="s">
        <v>111</v>
      </c>
      <c r="C219" s="1102" t="s">
        <v>1007</v>
      </c>
      <c r="D219" s="1102" t="s">
        <v>63</v>
      </c>
      <c r="E219" s="1102" t="s">
        <v>144</v>
      </c>
      <c r="F219" s="1102" t="s">
        <v>145</v>
      </c>
      <c r="G219" s="1102" t="s">
        <v>402</v>
      </c>
      <c r="H219" s="1102" t="s">
        <v>593</v>
      </c>
      <c r="I219" s="1102" t="s">
        <v>882</v>
      </c>
      <c r="J219" s="1102" t="s">
        <v>594</v>
      </c>
      <c r="K219" s="1102" t="s">
        <v>1124</v>
      </c>
      <c r="M219" s="1102" t="s">
        <v>840</v>
      </c>
      <c r="N219" s="1102">
        <v>46045</v>
      </c>
      <c r="O219" s="1102" t="s">
        <v>70</v>
      </c>
      <c r="P219" s="1102" t="s">
        <v>102</v>
      </c>
      <c r="Q219" s="1102" t="s">
        <v>103</v>
      </c>
      <c r="R219" s="1102" t="s">
        <v>73</v>
      </c>
      <c r="S219" s="1102" t="s">
        <v>967</v>
      </c>
      <c r="T219" s="1102">
        <v>620</v>
      </c>
      <c r="U219" s="1102">
        <v>1440</v>
      </c>
      <c r="V219" s="1102">
        <v>0.89280000000000004</v>
      </c>
      <c r="W219" s="1102">
        <v>40</v>
      </c>
      <c r="X219" s="1102">
        <v>2</v>
      </c>
      <c r="Y219" s="1102" t="s">
        <v>75</v>
      </c>
      <c r="Z219" s="1102" t="s">
        <v>75</v>
      </c>
      <c r="AB219" s="1103">
        <v>46066</v>
      </c>
      <c r="AC219" s="1102">
        <v>7</v>
      </c>
      <c r="AD219" s="1102" t="s">
        <v>1125</v>
      </c>
      <c r="AF219" s="1102" t="s">
        <v>122</v>
      </c>
      <c r="AG219" s="1102" t="s">
        <v>123</v>
      </c>
      <c r="AH219" s="1102" t="s">
        <v>124</v>
      </c>
      <c r="AI219" s="1103">
        <v>46076</v>
      </c>
      <c r="AJ219" s="1103">
        <v>46078</v>
      </c>
      <c r="AK219" s="1103">
        <v>46078</v>
      </c>
      <c r="AL219" s="1103">
        <v>46128</v>
      </c>
      <c r="AM219" s="1103">
        <v>46134</v>
      </c>
      <c r="AN219" s="1103">
        <v>46134</v>
      </c>
      <c r="AO219" s="1102" t="s">
        <v>402</v>
      </c>
      <c r="AP219" s="1102" t="s">
        <v>1126</v>
      </c>
      <c r="AQ219" s="1102" t="s">
        <v>80</v>
      </c>
      <c r="AR219" s="1102" t="s">
        <v>1127</v>
      </c>
      <c r="AS219" s="1102" t="s">
        <v>1128</v>
      </c>
      <c r="AT219" s="1102" t="s">
        <v>1128</v>
      </c>
      <c r="AU219" s="1102">
        <v>56</v>
      </c>
      <c r="AW219" s="1103">
        <v>46134</v>
      </c>
      <c r="AX219" s="1102" t="s">
        <v>973</v>
      </c>
      <c r="AY219" s="1103">
        <v>46141</v>
      </c>
      <c r="AZ219" s="1102">
        <v>0</v>
      </c>
      <c r="BA219" s="1103">
        <v>46134</v>
      </c>
      <c r="BB219" s="1102">
        <v>2026</v>
      </c>
      <c r="BC219" s="1102">
        <v>4</v>
      </c>
      <c r="BD219" s="1102">
        <v>17</v>
      </c>
      <c r="BE219" s="1102">
        <v>36</v>
      </c>
      <c r="BF219" s="1102">
        <v>720</v>
      </c>
      <c r="BG219" s="1102" t="s">
        <v>108</v>
      </c>
      <c r="BH219" s="1102" t="s">
        <v>86</v>
      </c>
    </row>
    <row r="220" spans="1:60">
      <c r="A220" s="1102" t="s">
        <v>1129</v>
      </c>
      <c r="B220" s="1102" t="s">
        <v>111</v>
      </c>
      <c r="C220" s="1102" t="s">
        <v>991</v>
      </c>
      <c r="D220" s="1102" t="s">
        <v>63</v>
      </c>
      <c r="E220" s="1102" t="s">
        <v>144</v>
      </c>
      <c r="F220" s="1102" t="s">
        <v>145</v>
      </c>
      <c r="G220" s="1102" t="s">
        <v>402</v>
      </c>
      <c r="H220" s="1102" t="s">
        <v>593</v>
      </c>
      <c r="I220" s="1102" t="s">
        <v>882</v>
      </c>
      <c r="J220" s="1102" t="s">
        <v>594</v>
      </c>
      <c r="K220" s="1102" t="s">
        <v>1124</v>
      </c>
      <c r="M220" s="1102" t="s">
        <v>840</v>
      </c>
      <c r="N220" s="1102">
        <v>46048</v>
      </c>
      <c r="O220" s="1102" t="s">
        <v>132</v>
      </c>
      <c r="P220" s="1102" t="s">
        <v>133</v>
      </c>
      <c r="Q220" s="1102" t="s">
        <v>134</v>
      </c>
      <c r="R220" s="1102" t="s">
        <v>73</v>
      </c>
      <c r="S220" s="1102" t="s">
        <v>992</v>
      </c>
      <c r="T220" s="1102">
        <v>720</v>
      </c>
      <c r="U220" s="1102">
        <v>2970</v>
      </c>
      <c r="V220" s="1102">
        <v>2.1383999999999999</v>
      </c>
      <c r="W220" s="1102">
        <v>90</v>
      </c>
      <c r="X220" s="1102">
        <v>5</v>
      </c>
      <c r="Y220" s="1102" t="s">
        <v>75</v>
      </c>
      <c r="Z220" s="1102" t="s">
        <v>75</v>
      </c>
      <c r="AB220" s="1103">
        <v>46066</v>
      </c>
      <c r="AC220" s="1102">
        <v>7</v>
      </c>
      <c r="AD220" s="1102" t="s">
        <v>1130</v>
      </c>
      <c r="AF220" s="1102" t="s">
        <v>122</v>
      </c>
      <c r="AG220" s="1102" t="s">
        <v>123</v>
      </c>
      <c r="AH220" s="1102" t="s">
        <v>124</v>
      </c>
      <c r="AI220" s="1103">
        <v>46076</v>
      </c>
      <c r="AJ220" s="1103">
        <v>46078</v>
      </c>
      <c r="AK220" s="1103">
        <v>46078</v>
      </c>
      <c r="AL220" s="1103">
        <v>46128</v>
      </c>
      <c r="AM220" s="1103">
        <v>46134</v>
      </c>
      <c r="AN220" s="1103">
        <v>46134</v>
      </c>
      <c r="AO220" s="1102" t="s">
        <v>402</v>
      </c>
      <c r="AP220" s="1102" t="s">
        <v>1126</v>
      </c>
      <c r="AQ220" s="1102" t="s">
        <v>80</v>
      </c>
      <c r="AR220" s="1102" t="s">
        <v>1127</v>
      </c>
      <c r="AS220" s="1102" t="s">
        <v>1128</v>
      </c>
      <c r="AT220" s="1102" t="s">
        <v>1128</v>
      </c>
      <c r="AU220" s="1102">
        <v>56</v>
      </c>
      <c r="AW220" s="1103">
        <v>46134</v>
      </c>
      <c r="AX220" s="1102" t="s">
        <v>973</v>
      </c>
      <c r="AY220" s="1103">
        <v>46141</v>
      </c>
      <c r="AZ220" s="1102">
        <v>0</v>
      </c>
      <c r="BA220" s="1103">
        <v>46134</v>
      </c>
      <c r="BB220" s="1102">
        <v>2026</v>
      </c>
      <c r="BC220" s="1102">
        <v>4</v>
      </c>
      <c r="BD220" s="1102">
        <v>17</v>
      </c>
      <c r="BE220" s="1102">
        <v>33</v>
      </c>
      <c r="BF220" s="1102">
        <v>594</v>
      </c>
      <c r="BG220" s="1102" t="s">
        <v>108</v>
      </c>
      <c r="BH220" s="1102" t="s">
        <v>86</v>
      </c>
    </row>
    <row r="221" spans="1:60">
      <c r="A221" s="1102" t="s">
        <v>1131</v>
      </c>
      <c r="B221" s="1102" t="s">
        <v>61</v>
      </c>
      <c r="C221" s="1102" t="s">
        <v>1016</v>
      </c>
      <c r="D221" s="1102" t="s">
        <v>63</v>
      </c>
      <c r="E221" s="1102" t="s">
        <v>64</v>
      </c>
      <c r="F221" s="1102" t="s">
        <v>100</v>
      </c>
      <c r="G221" s="1102" t="s">
        <v>402</v>
      </c>
      <c r="H221" s="1102" t="s">
        <v>67</v>
      </c>
      <c r="I221" s="1102" t="s">
        <v>689</v>
      </c>
      <c r="J221" s="1102" t="s">
        <v>1132</v>
      </c>
      <c r="M221" s="1102" t="s">
        <v>840</v>
      </c>
      <c r="N221" s="1102">
        <v>46055</v>
      </c>
      <c r="O221" s="1102" t="s">
        <v>70</v>
      </c>
      <c r="P221" s="1102" t="s">
        <v>195</v>
      </c>
      <c r="Q221" s="1102" t="s">
        <v>196</v>
      </c>
      <c r="R221" s="1102" t="s">
        <v>73</v>
      </c>
      <c r="S221" s="1102" t="s">
        <v>967</v>
      </c>
      <c r="T221" s="1102">
        <v>450</v>
      </c>
      <c r="U221" s="1102">
        <v>4680</v>
      </c>
      <c r="V221" s="1102">
        <v>2.1059999999999999</v>
      </c>
      <c r="W221" s="1102">
        <v>130</v>
      </c>
      <c r="X221" s="1102">
        <v>5</v>
      </c>
      <c r="Y221" s="1102" t="s">
        <v>75</v>
      </c>
      <c r="Z221" s="1102" t="s">
        <v>75</v>
      </c>
      <c r="AB221" s="1103">
        <v>46077</v>
      </c>
      <c r="AC221" s="1102">
        <v>9</v>
      </c>
      <c r="AD221" s="1102" t="s">
        <v>1133</v>
      </c>
      <c r="AF221" s="1102" t="s">
        <v>77</v>
      </c>
      <c r="AG221" s="1102" t="s">
        <v>61</v>
      </c>
      <c r="AH221" s="1102" t="s">
        <v>105</v>
      </c>
      <c r="AI221" s="1103">
        <v>46084</v>
      </c>
      <c r="AJ221" s="1103">
        <v>46084</v>
      </c>
      <c r="AK221" s="1103">
        <v>46085</v>
      </c>
      <c r="AL221" s="1103">
        <v>46126</v>
      </c>
      <c r="AM221" s="1103">
        <v>46142</v>
      </c>
      <c r="AN221" s="1103">
        <v>46142</v>
      </c>
      <c r="AO221" s="1102" t="s">
        <v>402</v>
      </c>
      <c r="AP221" s="1102" t="s">
        <v>872</v>
      </c>
      <c r="AQ221" s="1102" t="s">
        <v>80</v>
      </c>
      <c r="AR221" s="1102" t="s">
        <v>1134</v>
      </c>
      <c r="AS221" s="1102" t="s">
        <v>1135</v>
      </c>
      <c r="AT221" s="1102" t="s">
        <v>1135</v>
      </c>
      <c r="AU221" s="1102">
        <v>57</v>
      </c>
      <c r="AW221" s="1103">
        <v>46142</v>
      </c>
      <c r="AX221" s="1102" t="s">
        <v>973</v>
      </c>
      <c r="AY221" s="1103">
        <v>46162</v>
      </c>
      <c r="AZ221" s="1102">
        <v>7</v>
      </c>
      <c r="BA221" s="1103">
        <v>46149</v>
      </c>
      <c r="BB221" s="1102">
        <v>2026</v>
      </c>
      <c r="BC221" s="1102">
        <v>5</v>
      </c>
      <c r="BD221" s="1102">
        <v>19</v>
      </c>
      <c r="BE221" s="1102">
        <v>36</v>
      </c>
      <c r="BF221" s="1102">
        <v>936</v>
      </c>
      <c r="BG221" s="1102" t="s">
        <v>85</v>
      </c>
      <c r="BH221" s="1102" t="s">
        <v>109</v>
      </c>
    </row>
    <row r="222" spans="1:60">
      <c r="A222" s="1102" t="s">
        <v>1136</v>
      </c>
      <c r="B222" s="1102" t="s">
        <v>61</v>
      </c>
      <c r="C222" s="1102" t="s">
        <v>1021</v>
      </c>
      <c r="D222" s="1102" t="s">
        <v>63</v>
      </c>
      <c r="E222" s="1102" t="s">
        <v>144</v>
      </c>
      <c r="F222" s="1102" t="s">
        <v>145</v>
      </c>
      <c r="G222" s="1102" t="s">
        <v>402</v>
      </c>
      <c r="H222" s="1102" t="s">
        <v>1137</v>
      </c>
      <c r="I222" s="1102" t="s">
        <v>689</v>
      </c>
      <c r="J222" s="1102" t="s">
        <v>1138</v>
      </c>
      <c r="K222" s="1102" t="s">
        <v>1139</v>
      </c>
      <c r="M222" s="1102" t="s">
        <v>840</v>
      </c>
      <c r="N222" s="1102">
        <v>46055</v>
      </c>
      <c r="O222" s="1102" t="s">
        <v>70</v>
      </c>
      <c r="P222" s="1102" t="s">
        <v>965</v>
      </c>
      <c r="Q222" s="1102" t="s">
        <v>966</v>
      </c>
      <c r="R222" s="1102" t="s">
        <v>73</v>
      </c>
      <c r="S222" s="1102" t="s">
        <v>967</v>
      </c>
      <c r="T222" s="1102">
        <v>455</v>
      </c>
      <c r="U222" s="1102">
        <v>3744</v>
      </c>
      <c r="V222" s="1102">
        <v>1.7035199999999999</v>
      </c>
      <c r="W222" s="1102">
        <v>104</v>
      </c>
      <c r="X222" s="1102">
        <v>4</v>
      </c>
      <c r="Y222" s="1102" t="s">
        <v>75</v>
      </c>
      <c r="Z222" s="1102" t="s">
        <v>75</v>
      </c>
      <c r="AB222" s="1103">
        <v>46077</v>
      </c>
      <c r="AC222" s="1102">
        <v>9</v>
      </c>
      <c r="AD222" s="1102" t="s">
        <v>1140</v>
      </c>
      <c r="AF222" s="1102" t="s">
        <v>77</v>
      </c>
      <c r="AG222" s="1102" t="s">
        <v>61</v>
      </c>
      <c r="AH222" s="1102" t="s">
        <v>105</v>
      </c>
      <c r="AI222" s="1103">
        <v>46084</v>
      </c>
      <c r="AJ222" s="1103">
        <v>46084</v>
      </c>
      <c r="AK222" s="1103">
        <v>46084</v>
      </c>
      <c r="AL222" s="1103">
        <v>46126</v>
      </c>
      <c r="AM222" s="1103">
        <v>46142</v>
      </c>
      <c r="AN222" s="1103">
        <v>46141</v>
      </c>
      <c r="AO222" s="1102" t="s">
        <v>402</v>
      </c>
      <c r="AP222" s="1102" t="s">
        <v>872</v>
      </c>
      <c r="AQ222" s="1102" t="s">
        <v>80</v>
      </c>
      <c r="AR222" s="1102" t="s">
        <v>1141</v>
      </c>
      <c r="AS222" s="1102" t="s">
        <v>1142</v>
      </c>
      <c r="AT222" s="1102" t="s">
        <v>1135</v>
      </c>
      <c r="AU222" s="1102">
        <v>57</v>
      </c>
      <c r="AW222" s="1103">
        <v>46141</v>
      </c>
      <c r="AX222" s="1102" t="s">
        <v>973</v>
      </c>
      <c r="AY222" s="1103">
        <v>46139</v>
      </c>
      <c r="AZ222" s="1102">
        <v>0</v>
      </c>
      <c r="BA222" s="1103">
        <v>46141</v>
      </c>
      <c r="BB222" s="1102">
        <v>2026</v>
      </c>
      <c r="BC222" s="1102">
        <v>4</v>
      </c>
      <c r="BD222" s="1102">
        <v>18</v>
      </c>
      <c r="BE222" s="1102">
        <v>36</v>
      </c>
      <c r="BF222" s="1102">
        <v>936</v>
      </c>
      <c r="BG222" s="1102" t="s">
        <v>85</v>
      </c>
      <c r="BH222" s="1102" t="s">
        <v>109</v>
      </c>
    </row>
    <row r="223" spans="1:60">
      <c r="A223" s="1102" t="s">
        <v>1143</v>
      </c>
      <c r="B223" s="1102" t="s">
        <v>61</v>
      </c>
      <c r="C223" s="1102" t="s">
        <v>1016</v>
      </c>
      <c r="D223" s="1102" t="s">
        <v>63</v>
      </c>
      <c r="E223" s="1102" t="s">
        <v>64</v>
      </c>
      <c r="F223" s="1102" t="s">
        <v>100</v>
      </c>
      <c r="G223" s="1102" t="s">
        <v>402</v>
      </c>
      <c r="H223" s="1102" t="s">
        <v>67</v>
      </c>
      <c r="I223" s="1102" t="s">
        <v>689</v>
      </c>
      <c r="J223" s="1102" t="s">
        <v>1144</v>
      </c>
      <c r="M223" s="1102" t="s">
        <v>68</v>
      </c>
      <c r="N223" s="1102">
        <v>46069</v>
      </c>
      <c r="O223" s="1102" t="s">
        <v>70</v>
      </c>
      <c r="P223" s="1102" t="s">
        <v>195</v>
      </c>
      <c r="Q223" s="1102" t="s">
        <v>196</v>
      </c>
      <c r="R223" s="1102" t="s">
        <v>73</v>
      </c>
      <c r="S223" s="1102" t="s">
        <v>967</v>
      </c>
      <c r="T223" s="1102">
        <v>450</v>
      </c>
      <c r="U223" s="1102">
        <v>1872</v>
      </c>
      <c r="V223" s="1102">
        <v>0.84240000000000004</v>
      </c>
      <c r="W223" s="1102">
        <v>52</v>
      </c>
      <c r="X223" s="1102">
        <v>2</v>
      </c>
      <c r="Y223" s="1102" t="s">
        <v>75</v>
      </c>
      <c r="Z223" s="1102" t="s">
        <v>75</v>
      </c>
      <c r="AB223" s="1103">
        <v>46080</v>
      </c>
      <c r="AC223" s="1102">
        <v>9</v>
      </c>
      <c r="AD223" s="1102" t="s">
        <v>1145</v>
      </c>
      <c r="AF223" s="1102" t="s">
        <v>77</v>
      </c>
      <c r="AG223" s="1102" t="s">
        <v>61</v>
      </c>
      <c r="AH223" s="1102" t="s">
        <v>105</v>
      </c>
      <c r="AI223" s="1103">
        <v>46084</v>
      </c>
      <c r="AJ223" s="1103">
        <v>46084</v>
      </c>
      <c r="AK223" s="1103">
        <v>46084</v>
      </c>
      <c r="AL223" s="1103">
        <v>46126</v>
      </c>
      <c r="AM223" s="1103">
        <v>46142</v>
      </c>
      <c r="AN223" s="1103">
        <v>46141</v>
      </c>
      <c r="AO223" s="1102" t="s">
        <v>146</v>
      </c>
      <c r="AP223" s="1102" t="s">
        <v>872</v>
      </c>
      <c r="AQ223" s="1102" t="s">
        <v>80</v>
      </c>
      <c r="AR223" s="1102" t="s">
        <v>1146</v>
      </c>
      <c r="AS223" s="1102" t="s">
        <v>1147</v>
      </c>
      <c r="AT223" s="1102" t="s">
        <v>1147</v>
      </c>
      <c r="AU223" s="1102">
        <v>57</v>
      </c>
      <c r="AW223" s="1103">
        <v>46141</v>
      </c>
      <c r="AX223" s="1102" t="s">
        <v>973</v>
      </c>
      <c r="AY223" s="1103">
        <v>46162</v>
      </c>
      <c r="AZ223" s="1102">
        <v>7</v>
      </c>
      <c r="BA223" s="1103">
        <v>46148</v>
      </c>
      <c r="BB223" s="1102">
        <v>2026</v>
      </c>
      <c r="BC223" s="1102">
        <v>5</v>
      </c>
      <c r="BD223" s="1102">
        <v>19</v>
      </c>
      <c r="BE223" s="1102">
        <v>36</v>
      </c>
      <c r="BF223" s="1102">
        <v>936</v>
      </c>
      <c r="BG223" s="1102" t="s">
        <v>85</v>
      </c>
      <c r="BH223" s="1102" t="s">
        <v>109</v>
      </c>
    </row>
    <row r="224" spans="1:60">
      <c r="A224" s="1102" t="s">
        <v>1148</v>
      </c>
      <c r="B224" s="1102" t="s">
        <v>61</v>
      </c>
      <c r="C224" s="1102" t="s">
        <v>1149</v>
      </c>
      <c r="D224" s="1102" t="s">
        <v>63</v>
      </c>
      <c r="E224" s="1102" t="s">
        <v>64</v>
      </c>
      <c r="F224" s="1102" t="s">
        <v>100</v>
      </c>
      <c r="G224" s="1102" t="s">
        <v>402</v>
      </c>
      <c r="H224" s="1102" t="s">
        <v>67</v>
      </c>
      <c r="I224" s="1102" t="s">
        <v>689</v>
      </c>
      <c r="J224" s="1102" t="s">
        <v>1150</v>
      </c>
      <c r="M224" s="1102" t="s">
        <v>68</v>
      </c>
      <c r="N224" s="1102">
        <v>46048</v>
      </c>
      <c r="O224" s="1102" t="s">
        <v>70</v>
      </c>
      <c r="P224" s="1102" t="s">
        <v>1151</v>
      </c>
      <c r="Q224" s="1102" t="s">
        <v>421</v>
      </c>
      <c r="R224" s="1102" t="s">
        <v>73</v>
      </c>
      <c r="S224" s="1102" t="s">
        <v>967</v>
      </c>
      <c r="T224" s="1102">
        <v>505</v>
      </c>
      <c r="U224" s="1102">
        <v>2592</v>
      </c>
      <c r="V224" s="1102">
        <v>1.3089599999999999</v>
      </c>
      <c r="W224" s="1102">
        <v>72</v>
      </c>
      <c r="X224" s="1102">
        <v>3</v>
      </c>
      <c r="Y224" s="1102" t="s">
        <v>75</v>
      </c>
      <c r="Z224" s="1102" t="s">
        <v>75</v>
      </c>
      <c r="AB224" s="1103">
        <v>46078</v>
      </c>
      <c r="AC224" s="1102">
        <v>9</v>
      </c>
      <c r="AD224" s="1102" t="s">
        <v>1152</v>
      </c>
      <c r="AF224" s="1102" t="s">
        <v>77</v>
      </c>
      <c r="AG224" s="1102" t="s">
        <v>61</v>
      </c>
      <c r="AH224" s="1102" t="s">
        <v>105</v>
      </c>
      <c r="AI224" s="1103">
        <v>46084</v>
      </c>
      <c r="AJ224" s="1103">
        <v>46084</v>
      </c>
      <c r="AK224" s="1103">
        <v>46084</v>
      </c>
      <c r="AL224" s="1103">
        <v>46126</v>
      </c>
      <c r="AM224" s="1103">
        <v>46142</v>
      </c>
      <c r="AN224" s="1103">
        <v>46141</v>
      </c>
      <c r="AO224" s="1102" t="s">
        <v>402</v>
      </c>
      <c r="AP224" s="1102" t="s">
        <v>872</v>
      </c>
      <c r="AQ224" s="1102" t="s">
        <v>80</v>
      </c>
      <c r="AR224" s="1102" t="s">
        <v>1153</v>
      </c>
      <c r="AS224" s="1102" t="s">
        <v>1154</v>
      </c>
      <c r="AT224" s="1102" t="s">
        <v>1154</v>
      </c>
      <c r="AU224" s="1102">
        <v>57</v>
      </c>
      <c r="AW224" s="1103">
        <v>46141</v>
      </c>
      <c r="AX224" s="1102" t="s">
        <v>973</v>
      </c>
      <c r="AY224" s="1103">
        <v>46152</v>
      </c>
      <c r="AZ224" s="1102">
        <v>7</v>
      </c>
      <c r="BA224" s="1103">
        <v>46148</v>
      </c>
      <c r="BB224" s="1102">
        <v>2026</v>
      </c>
      <c r="BC224" s="1102">
        <v>5</v>
      </c>
      <c r="BD224" s="1102">
        <v>19</v>
      </c>
      <c r="BE224" s="1102">
        <v>36</v>
      </c>
      <c r="BF224" s="1102">
        <v>864</v>
      </c>
      <c r="BG224" s="1102" t="s">
        <v>85</v>
      </c>
      <c r="BH224" s="1102" t="s">
        <v>109</v>
      </c>
    </row>
    <row r="225" spans="1:60">
      <c r="A225" s="1102" t="s">
        <v>1155</v>
      </c>
      <c r="B225" s="1102" t="s">
        <v>61</v>
      </c>
      <c r="C225" s="1102" t="s">
        <v>1149</v>
      </c>
      <c r="D225" s="1102" t="s">
        <v>63</v>
      </c>
      <c r="E225" s="1102" t="s">
        <v>144</v>
      </c>
      <c r="F225" s="1102" t="s">
        <v>145</v>
      </c>
      <c r="G225" s="1102" t="s">
        <v>146</v>
      </c>
      <c r="H225" s="1102" t="s">
        <v>1156</v>
      </c>
      <c r="I225" s="1102" t="s">
        <v>689</v>
      </c>
      <c r="J225" s="1102" t="s">
        <v>1157</v>
      </c>
      <c r="K225" s="1102" t="s">
        <v>1158</v>
      </c>
      <c r="M225" s="1102" t="s">
        <v>840</v>
      </c>
      <c r="N225" s="1102">
        <v>46048</v>
      </c>
      <c r="O225" s="1102" t="s">
        <v>70</v>
      </c>
      <c r="P225" s="1102" t="s">
        <v>1151</v>
      </c>
      <c r="Q225" s="1102" t="s">
        <v>421</v>
      </c>
      <c r="R225" s="1102" t="s">
        <v>73</v>
      </c>
      <c r="S225" s="1102" t="s">
        <v>967</v>
      </c>
      <c r="T225" s="1102">
        <v>505</v>
      </c>
      <c r="U225" s="1102">
        <v>1728</v>
      </c>
      <c r="V225" s="1102">
        <v>0.87263999999999997</v>
      </c>
      <c r="W225" s="1102">
        <v>48</v>
      </c>
      <c r="X225" s="1102">
        <v>2</v>
      </c>
      <c r="Y225" s="1102" t="s">
        <v>75</v>
      </c>
      <c r="Z225" s="1102" t="s">
        <v>75</v>
      </c>
      <c r="AB225" s="1103">
        <v>46078</v>
      </c>
      <c r="AC225" s="1102">
        <v>9</v>
      </c>
      <c r="AD225" s="1102" t="s">
        <v>1159</v>
      </c>
      <c r="AF225" s="1102" t="s">
        <v>77</v>
      </c>
      <c r="AG225" s="1102" t="s">
        <v>61</v>
      </c>
      <c r="AH225" s="1102" t="s">
        <v>105</v>
      </c>
      <c r="AI225" s="1103">
        <v>46084</v>
      </c>
      <c r="AJ225" s="1103">
        <v>46084</v>
      </c>
      <c r="AK225" s="1103">
        <v>46084</v>
      </c>
      <c r="AL225" s="1103">
        <v>46126</v>
      </c>
      <c r="AM225" s="1103">
        <v>46142</v>
      </c>
      <c r="AN225" s="1103">
        <v>46141</v>
      </c>
      <c r="AO225" s="1102" t="s">
        <v>146</v>
      </c>
      <c r="AP225" s="1102" t="s">
        <v>872</v>
      </c>
      <c r="AQ225" s="1102" t="s">
        <v>80</v>
      </c>
      <c r="AR225" s="1102" t="s">
        <v>1153</v>
      </c>
      <c r="AS225" s="1102" t="s">
        <v>1160</v>
      </c>
      <c r="AT225" s="1102" t="s">
        <v>1154</v>
      </c>
      <c r="AU225" s="1102">
        <v>57</v>
      </c>
      <c r="AW225" s="1103">
        <v>46141</v>
      </c>
      <c r="AX225" s="1102" t="s">
        <v>973</v>
      </c>
      <c r="AY225" s="1103">
        <v>46152</v>
      </c>
      <c r="AZ225" s="1102">
        <v>0</v>
      </c>
      <c r="BA225" s="1103">
        <v>46141</v>
      </c>
      <c r="BB225" s="1102">
        <v>2026</v>
      </c>
      <c r="BC225" s="1102">
        <v>4</v>
      </c>
      <c r="BD225" s="1102">
        <v>18</v>
      </c>
      <c r="BE225" s="1102">
        <v>36</v>
      </c>
      <c r="BF225" s="1102">
        <v>864</v>
      </c>
      <c r="BG225" s="1102" t="s">
        <v>85</v>
      </c>
      <c r="BH225" s="1102" t="s">
        <v>109</v>
      </c>
    </row>
    <row r="226" spans="1:60">
      <c r="A226" s="1102" t="s">
        <v>1161</v>
      </c>
      <c r="B226" s="1102" t="s">
        <v>61</v>
      </c>
      <c r="C226" s="1102" t="s">
        <v>1162</v>
      </c>
      <c r="D226" s="1102" t="s">
        <v>113</v>
      </c>
      <c r="E226" s="1102" t="s">
        <v>64</v>
      </c>
      <c r="F226" s="1102" t="s">
        <v>65</v>
      </c>
      <c r="G226" s="1102" t="s">
        <v>402</v>
      </c>
      <c r="H226" s="1102" t="s">
        <v>67</v>
      </c>
      <c r="I226" s="1102" t="s">
        <v>689</v>
      </c>
      <c r="J226" s="1102" t="s">
        <v>1163</v>
      </c>
      <c r="M226" s="1102" t="s">
        <v>68</v>
      </c>
      <c r="N226" s="1102">
        <v>46045</v>
      </c>
      <c r="O226" s="1102" t="s">
        <v>713</v>
      </c>
      <c r="P226" s="1102" t="s">
        <v>1164</v>
      </c>
      <c r="Q226" s="1102" t="s">
        <v>1165</v>
      </c>
      <c r="R226" s="1102" t="s">
        <v>73</v>
      </c>
      <c r="S226" s="1102" t="s">
        <v>1166</v>
      </c>
      <c r="T226" s="1102">
        <v>620</v>
      </c>
      <c r="U226" s="1102">
        <v>144</v>
      </c>
      <c r="V226" s="1102">
        <v>8.9279999999999998E-2</v>
      </c>
      <c r="W226" s="1102">
        <v>4</v>
      </c>
      <c r="X226" s="1102">
        <v>0.25</v>
      </c>
      <c r="Y226" s="1102" t="s">
        <v>75</v>
      </c>
      <c r="Z226" s="1102" t="s">
        <v>75</v>
      </c>
      <c r="AB226" s="1103">
        <v>46079</v>
      </c>
      <c r="AC226" s="1102">
        <v>9</v>
      </c>
      <c r="AD226" s="1102" t="s">
        <v>1167</v>
      </c>
      <c r="AF226" s="1102" t="s">
        <v>77</v>
      </c>
      <c r="AG226" s="1102" t="s">
        <v>61</v>
      </c>
      <c r="AH226" s="1102" t="s">
        <v>356</v>
      </c>
      <c r="AI226" s="1103">
        <v>46083</v>
      </c>
      <c r="AJ226" s="1103">
        <v>46084</v>
      </c>
      <c r="AK226" s="1103">
        <v>46084</v>
      </c>
      <c r="AL226" s="1103">
        <v>46133</v>
      </c>
      <c r="AM226" s="1103">
        <v>46139</v>
      </c>
      <c r="AN226" s="1103">
        <v>46140</v>
      </c>
      <c r="AO226" s="1102" t="s">
        <v>402</v>
      </c>
      <c r="AP226" s="1102" t="s">
        <v>1168</v>
      </c>
      <c r="AQ226" s="1102" t="s">
        <v>161</v>
      </c>
      <c r="AR226" s="1102" t="s">
        <v>1169</v>
      </c>
      <c r="AS226" s="1102" t="s">
        <v>1170</v>
      </c>
      <c r="AT226" s="1102" t="s">
        <v>1170</v>
      </c>
      <c r="AU226" s="1102">
        <v>56</v>
      </c>
      <c r="AW226" s="1103">
        <v>46140</v>
      </c>
      <c r="AX226" s="1102" t="s">
        <v>973</v>
      </c>
      <c r="AY226" s="1103">
        <v>46152</v>
      </c>
      <c r="AZ226" s="1102">
        <v>8</v>
      </c>
      <c r="BA226" s="1103">
        <v>46148</v>
      </c>
      <c r="BB226" s="1102">
        <v>2026</v>
      </c>
      <c r="BC226" s="1102">
        <v>5</v>
      </c>
      <c r="BD226" s="1102">
        <v>19</v>
      </c>
      <c r="BE226" s="1102">
        <v>36</v>
      </c>
      <c r="BF226" s="1102">
        <v>576</v>
      </c>
      <c r="BG226" s="1102" t="s">
        <v>108</v>
      </c>
      <c r="BH226" s="1102" t="s">
        <v>109</v>
      </c>
    </row>
    <row r="227" spans="1:60">
      <c r="A227" s="1102" t="s">
        <v>1171</v>
      </c>
      <c r="B227" s="1102" t="s">
        <v>61</v>
      </c>
      <c r="C227" s="1102" t="s">
        <v>203</v>
      </c>
      <c r="D227" s="1102" t="s">
        <v>113</v>
      </c>
      <c r="E227" s="1102" t="s">
        <v>64</v>
      </c>
      <c r="F227" s="1102" t="s">
        <v>65</v>
      </c>
      <c r="G227" s="1102" t="s">
        <v>402</v>
      </c>
      <c r="H227" s="1102" t="s">
        <v>67</v>
      </c>
      <c r="I227" s="1102" t="s">
        <v>689</v>
      </c>
      <c r="J227" s="1102" t="s">
        <v>1172</v>
      </c>
      <c r="M227" s="1102" t="s">
        <v>68</v>
      </c>
      <c r="N227" s="1102">
        <v>46045</v>
      </c>
      <c r="O227" s="1102" t="s">
        <v>713</v>
      </c>
      <c r="P227" s="1102" t="s">
        <v>714</v>
      </c>
      <c r="Q227" s="1102" t="s">
        <v>1173</v>
      </c>
      <c r="R227" s="1102" t="s">
        <v>73</v>
      </c>
      <c r="S227" s="1102" t="s">
        <v>1166</v>
      </c>
      <c r="T227" s="1102">
        <v>625</v>
      </c>
      <c r="U227" s="1102">
        <v>288</v>
      </c>
      <c r="V227" s="1102">
        <v>0.18</v>
      </c>
      <c r="W227" s="1102">
        <v>8</v>
      </c>
      <c r="X227" s="1102">
        <v>0.5</v>
      </c>
      <c r="Y227" s="1102" t="s">
        <v>75</v>
      </c>
      <c r="Z227" s="1102" t="s">
        <v>75</v>
      </c>
      <c r="AB227" s="1103">
        <v>46079</v>
      </c>
      <c r="AC227" s="1102">
        <v>9</v>
      </c>
      <c r="AD227" s="1102" t="s">
        <v>1174</v>
      </c>
      <c r="AF227" s="1102" t="s">
        <v>77</v>
      </c>
      <c r="AG227" s="1102" t="s">
        <v>61</v>
      </c>
      <c r="AH227" s="1102" t="s">
        <v>356</v>
      </c>
      <c r="AI227" s="1103">
        <v>46083</v>
      </c>
      <c r="AJ227" s="1103">
        <v>46084</v>
      </c>
      <c r="AK227" s="1103">
        <v>46084</v>
      </c>
      <c r="AL227" s="1103">
        <v>46133</v>
      </c>
      <c r="AM227" s="1103">
        <v>46139</v>
      </c>
      <c r="AN227" s="1103">
        <v>46140</v>
      </c>
      <c r="AO227" s="1102" t="s">
        <v>402</v>
      </c>
      <c r="AP227" s="1102" t="s">
        <v>1168</v>
      </c>
      <c r="AQ227" s="1102" t="s">
        <v>161</v>
      </c>
      <c r="AR227" s="1102" t="s">
        <v>1169</v>
      </c>
      <c r="AS227" s="1102" t="s">
        <v>1170</v>
      </c>
      <c r="AT227" s="1102" t="s">
        <v>1170</v>
      </c>
      <c r="AU227" s="1102">
        <v>56</v>
      </c>
      <c r="AW227" s="1103">
        <v>46140</v>
      </c>
      <c r="AX227" s="1102" t="s">
        <v>973</v>
      </c>
      <c r="AY227" s="1103">
        <v>46152</v>
      </c>
      <c r="AZ227" s="1102">
        <v>8</v>
      </c>
      <c r="BA227" s="1103">
        <v>46148</v>
      </c>
      <c r="BB227" s="1102">
        <v>2026</v>
      </c>
      <c r="BC227" s="1102">
        <v>5</v>
      </c>
      <c r="BD227" s="1102">
        <v>19</v>
      </c>
      <c r="BE227" s="1102">
        <v>36</v>
      </c>
      <c r="BF227" s="1102">
        <v>576</v>
      </c>
      <c r="BG227" s="1102" t="s">
        <v>108</v>
      </c>
      <c r="BH227" s="1102" t="s">
        <v>109</v>
      </c>
    </row>
    <row r="228" spans="1:60">
      <c r="A228" s="1102" t="s">
        <v>1175</v>
      </c>
      <c r="B228" s="1102" t="s">
        <v>61</v>
      </c>
      <c r="C228" s="1102" t="s">
        <v>1176</v>
      </c>
      <c r="D228" s="1102" t="s">
        <v>113</v>
      </c>
      <c r="E228" s="1102" t="s">
        <v>64</v>
      </c>
      <c r="F228" s="1102" t="s">
        <v>65</v>
      </c>
      <c r="G228" s="1102" t="s">
        <v>402</v>
      </c>
      <c r="H228" s="1102" t="s">
        <v>67</v>
      </c>
      <c r="I228" s="1102" t="s">
        <v>822</v>
      </c>
      <c r="J228" s="1102" t="s">
        <v>1177</v>
      </c>
      <c r="M228" s="1102" t="s">
        <v>68</v>
      </c>
      <c r="N228" s="1102">
        <v>46045</v>
      </c>
      <c r="O228" s="1102" t="s">
        <v>713</v>
      </c>
      <c r="P228" s="1102" t="s">
        <v>714</v>
      </c>
      <c r="Q228" s="1102" t="s">
        <v>1173</v>
      </c>
      <c r="R228" s="1102" t="s">
        <v>73</v>
      </c>
      <c r="S228" s="1102" t="s">
        <v>1166</v>
      </c>
      <c r="T228" s="1102">
        <v>625</v>
      </c>
      <c r="U228" s="1102">
        <v>3600</v>
      </c>
      <c r="V228" s="1102">
        <v>2.25</v>
      </c>
      <c r="W228" s="1102">
        <v>100</v>
      </c>
      <c r="X228" s="1102">
        <v>6.25</v>
      </c>
      <c r="Y228" s="1102" t="s">
        <v>75</v>
      </c>
      <c r="Z228" s="1102" t="s">
        <v>75</v>
      </c>
      <c r="AB228" s="1103">
        <v>46079</v>
      </c>
      <c r="AC228" s="1102">
        <v>9</v>
      </c>
      <c r="AD228" s="1102" t="s">
        <v>1178</v>
      </c>
      <c r="AF228" s="1102" t="s">
        <v>77</v>
      </c>
      <c r="AG228" s="1102" t="s">
        <v>61</v>
      </c>
      <c r="AH228" s="1102" t="s">
        <v>356</v>
      </c>
      <c r="AI228" s="1103">
        <v>46083</v>
      </c>
      <c r="AJ228" s="1103">
        <v>46084</v>
      </c>
      <c r="AK228" s="1103">
        <v>46084</v>
      </c>
      <c r="AL228" s="1103">
        <v>46133</v>
      </c>
      <c r="AM228" s="1103">
        <v>46139</v>
      </c>
      <c r="AN228" s="1103">
        <v>46140</v>
      </c>
      <c r="AO228" s="1102" t="s">
        <v>402</v>
      </c>
      <c r="AP228" s="1102" t="s">
        <v>1168</v>
      </c>
      <c r="AQ228" s="1102" t="s">
        <v>161</v>
      </c>
      <c r="AR228" s="1102" t="s">
        <v>1169</v>
      </c>
      <c r="AS228" s="1102" t="s">
        <v>1170</v>
      </c>
      <c r="AT228" s="1102" t="s">
        <v>1170</v>
      </c>
      <c r="AU228" s="1102">
        <v>56</v>
      </c>
      <c r="AW228" s="1103">
        <v>46140</v>
      </c>
      <c r="AX228" s="1102" t="s">
        <v>973</v>
      </c>
      <c r="AY228" s="1103">
        <v>46152</v>
      </c>
      <c r="AZ228" s="1102">
        <v>8</v>
      </c>
      <c r="BA228" s="1103">
        <v>46148</v>
      </c>
      <c r="BB228" s="1102">
        <v>2026</v>
      </c>
      <c r="BC228" s="1102">
        <v>5</v>
      </c>
      <c r="BD228" s="1102">
        <v>19</v>
      </c>
      <c r="BE228" s="1102">
        <v>36</v>
      </c>
      <c r="BF228" s="1102">
        <v>576</v>
      </c>
      <c r="BG228" s="1102" t="s">
        <v>108</v>
      </c>
      <c r="BH228" s="1102" t="s">
        <v>109</v>
      </c>
    </row>
    <row r="229" spans="1:60">
      <c r="A229" s="1102" t="s">
        <v>1176</v>
      </c>
      <c r="B229" s="1102" t="s">
        <v>61</v>
      </c>
      <c r="C229" s="1102" t="s">
        <v>203</v>
      </c>
      <c r="D229" s="1102" t="s">
        <v>113</v>
      </c>
      <c r="E229" s="1102" t="s">
        <v>64</v>
      </c>
      <c r="F229" s="1102" t="s">
        <v>65</v>
      </c>
      <c r="G229" s="1102" t="s">
        <v>402</v>
      </c>
      <c r="H229" s="1102" t="s">
        <v>67</v>
      </c>
      <c r="I229" s="1102" t="s">
        <v>822</v>
      </c>
      <c r="J229" s="1102" t="s">
        <v>1177</v>
      </c>
      <c r="M229" s="1102" t="s">
        <v>68</v>
      </c>
      <c r="N229" s="1102">
        <v>46045</v>
      </c>
      <c r="O229" s="1102" t="s">
        <v>713</v>
      </c>
      <c r="P229" s="1102" t="s">
        <v>714</v>
      </c>
      <c r="Q229" s="1102" t="s">
        <v>1173</v>
      </c>
      <c r="R229" s="1102" t="s">
        <v>73</v>
      </c>
      <c r="S229" s="1102" t="s">
        <v>1166</v>
      </c>
      <c r="T229" s="1102">
        <v>625</v>
      </c>
      <c r="U229" s="1102">
        <v>4032</v>
      </c>
      <c r="V229" s="1102">
        <v>2.52</v>
      </c>
      <c r="W229" s="1102">
        <v>112</v>
      </c>
      <c r="X229" s="1102">
        <v>7</v>
      </c>
      <c r="Y229" s="1102" t="s">
        <v>75</v>
      </c>
      <c r="Z229" s="1102" t="s">
        <v>75</v>
      </c>
      <c r="AB229" s="1103">
        <v>46078</v>
      </c>
      <c r="AC229" s="1102">
        <v>9</v>
      </c>
      <c r="AD229" s="1102" t="s">
        <v>1179</v>
      </c>
      <c r="AF229" s="1102" t="s">
        <v>77</v>
      </c>
      <c r="AG229" s="1102" t="s">
        <v>61</v>
      </c>
      <c r="AH229" s="1102" t="s">
        <v>356</v>
      </c>
      <c r="AI229" s="1103">
        <v>46083</v>
      </c>
      <c r="AJ229" s="1103">
        <v>46084</v>
      </c>
      <c r="AK229" s="1103">
        <v>46084</v>
      </c>
      <c r="AL229" s="1103">
        <v>46133</v>
      </c>
      <c r="AM229" s="1103">
        <v>46139</v>
      </c>
      <c r="AN229" s="1103">
        <v>46140</v>
      </c>
      <c r="AO229" s="1102" t="s">
        <v>402</v>
      </c>
      <c r="AP229" s="1102" t="s">
        <v>1168</v>
      </c>
      <c r="AQ229" s="1102" t="s">
        <v>161</v>
      </c>
      <c r="AR229" s="1102" t="s">
        <v>1180</v>
      </c>
      <c r="AS229" s="1102" t="s">
        <v>1181</v>
      </c>
      <c r="AT229" s="1102" t="s">
        <v>1181</v>
      </c>
      <c r="AU229" s="1102">
        <v>56</v>
      </c>
      <c r="AW229" s="1103">
        <v>46140</v>
      </c>
      <c r="AX229" s="1102" t="s">
        <v>973</v>
      </c>
      <c r="AY229" s="1103">
        <v>46152</v>
      </c>
      <c r="AZ229" s="1102">
        <v>8</v>
      </c>
      <c r="BA229" s="1103">
        <v>46148</v>
      </c>
      <c r="BB229" s="1102">
        <v>2026</v>
      </c>
      <c r="BC229" s="1102">
        <v>5</v>
      </c>
      <c r="BD229" s="1102">
        <v>19</v>
      </c>
      <c r="BE229" s="1102">
        <v>36</v>
      </c>
      <c r="BF229" s="1102">
        <v>576</v>
      </c>
      <c r="BG229" s="1102" t="s">
        <v>108</v>
      </c>
      <c r="BH229" s="1102" t="s">
        <v>109</v>
      </c>
    </row>
    <row r="230" spans="1:60">
      <c r="A230" s="1102" t="s">
        <v>1182</v>
      </c>
      <c r="B230" s="1102" t="s">
        <v>111</v>
      </c>
      <c r="C230" s="1102" t="s">
        <v>1183</v>
      </c>
      <c r="D230" s="1102" t="s">
        <v>113</v>
      </c>
      <c r="E230" s="1102" t="s">
        <v>64</v>
      </c>
      <c r="F230" s="1102" t="s">
        <v>65</v>
      </c>
      <c r="G230" s="1102" t="s">
        <v>402</v>
      </c>
      <c r="H230" s="1102" t="s">
        <v>67</v>
      </c>
      <c r="I230" s="1102" t="s">
        <v>822</v>
      </c>
      <c r="J230" s="1102" t="s">
        <v>1184</v>
      </c>
      <c r="K230" s="1102" t="s">
        <v>328</v>
      </c>
      <c r="M230" s="1102" t="s">
        <v>68</v>
      </c>
      <c r="N230" s="1102">
        <v>46045</v>
      </c>
      <c r="O230" s="1102" t="s">
        <v>713</v>
      </c>
      <c r="P230" s="1102" t="s">
        <v>1185</v>
      </c>
      <c r="Q230" s="1102" t="s">
        <v>1186</v>
      </c>
      <c r="R230" s="1102" t="s">
        <v>73</v>
      </c>
      <c r="S230" s="1102" t="s">
        <v>1187</v>
      </c>
      <c r="T230" s="1102">
        <v>615</v>
      </c>
      <c r="U230" s="1102">
        <v>1440</v>
      </c>
      <c r="V230" s="1102">
        <v>0.88560000000000005</v>
      </c>
      <c r="W230" s="1102">
        <v>40</v>
      </c>
      <c r="X230" s="1102">
        <v>2</v>
      </c>
      <c r="Y230" s="1102" t="s">
        <v>75</v>
      </c>
      <c r="Z230" s="1102" t="s">
        <v>75</v>
      </c>
      <c r="AB230" s="1103">
        <v>46076</v>
      </c>
      <c r="AC230" s="1102">
        <v>9</v>
      </c>
      <c r="AD230" s="1102" t="s">
        <v>1188</v>
      </c>
      <c r="AF230" s="1102" t="s">
        <v>122</v>
      </c>
      <c r="AG230" s="1102" t="s">
        <v>123</v>
      </c>
      <c r="AH230" s="1102" t="s">
        <v>356</v>
      </c>
      <c r="AI230" s="1103">
        <v>46079</v>
      </c>
      <c r="AJ230" s="1103">
        <v>46079</v>
      </c>
      <c r="AK230" s="1103">
        <v>46079</v>
      </c>
      <c r="AL230" s="1103">
        <v>46132</v>
      </c>
      <c r="AM230" s="1103">
        <v>46135</v>
      </c>
      <c r="AN230" s="1103">
        <v>46135</v>
      </c>
      <c r="AO230" s="1102" t="s">
        <v>402</v>
      </c>
      <c r="AP230" s="1102" t="s">
        <v>1189</v>
      </c>
      <c r="AQ230" s="1102" t="s">
        <v>80</v>
      </c>
      <c r="AR230" s="1102" t="s">
        <v>1190</v>
      </c>
      <c r="AS230" s="1102" t="s">
        <v>1191</v>
      </c>
      <c r="AT230" s="1102" t="s">
        <v>1191</v>
      </c>
      <c r="AU230" s="1102">
        <v>56</v>
      </c>
      <c r="AW230" s="1103">
        <v>46135</v>
      </c>
      <c r="AX230" s="1102" t="s">
        <v>973</v>
      </c>
      <c r="AY230" s="1103">
        <v>46148</v>
      </c>
      <c r="AZ230" s="1102">
        <v>8</v>
      </c>
      <c r="BA230" s="1103">
        <v>46143</v>
      </c>
      <c r="BB230" s="1102">
        <v>2026</v>
      </c>
      <c r="BC230" s="1102">
        <v>5</v>
      </c>
      <c r="BD230" s="1102">
        <v>18</v>
      </c>
      <c r="BE230" s="1102">
        <v>36</v>
      </c>
      <c r="BF230" s="1102">
        <v>720</v>
      </c>
      <c r="BG230" s="1102" t="s">
        <v>108</v>
      </c>
      <c r="BH230" s="1102" t="s">
        <v>109</v>
      </c>
    </row>
    <row r="231" spans="1:60">
      <c r="A231" s="1102" t="s">
        <v>1192</v>
      </c>
      <c r="B231" s="1102" t="s">
        <v>111</v>
      </c>
      <c r="C231" s="1102" t="s">
        <v>1091</v>
      </c>
      <c r="D231" s="1102" t="s">
        <v>63</v>
      </c>
      <c r="E231" s="1102" t="s">
        <v>64</v>
      </c>
      <c r="F231" s="1102" t="s">
        <v>100</v>
      </c>
      <c r="G231" s="1102" t="s">
        <v>402</v>
      </c>
      <c r="H231" s="1102" t="s">
        <v>67</v>
      </c>
      <c r="I231" s="1102" t="s">
        <v>689</v>
      </c>
      <c r="J231" s="1102" t="s">
        <v>293</v>
      </c>
      <c r="M231" s="1102" t="s">
        <v>68</v>
      </c>
      <c r="N231" s="1102">
        <v>46069</v>
      </c>
      <c r="O231" s="1102" t="s">
        <v>132</v>
      </c>
      <c r="P231" s="1102" t="s">
        <v>189</v>
      </c>
      <c r="Q231" s="1102" t="s">
        <v>190</v>
      </c>
      <c r="R231" s="1102" t="s">
        <v>73</v>
      </c>
      <c r="S231" s="1102" t="s">
        <v>967</v>
      </c>
      <c r="T231" s="1102">
        <v>465</v>
      </c>
      <c r="U231" s="1102">
        <v>4320</v>
      </c>
      <c r="V231" s="1102">
        <v>2.0087999999999999</v>
      </c>
      <c r="W231" s="1102">
        <v>120</v>
      </c>
      <c r="X231" s="1102">
        <v>5</v>
      </c>
      <c r="Y231" s="1102" t="s">
        <v>75</v>
      </c>
      <c r="Z231" s="1102" t="s">
        <v>75</v>
      </c>
      <c r="AB231" s="1103">
        <v>46077</v>
      </c>
      <c r="AC231" s="1102">
        <v>9</v>
      </c>
      <c r="AD231" s="1102" t="s">
        <v>1193</v>
      </c>
      <c r="AF231" s="1102" t="s">
        <v>122</v>
      </c>
      <c r="AG231" s="1102" t="s">
        <v>123</v>
      </c>
      <c r="AH231" s="1102" t="s">
        <v>105</v>
      </c>
      <c r="AI231" s="1103">
        <v>46088</v>
      </c>
      <c r="AJ231" s="1103">
        <v>46086</v>
      </c>
      <c r="AK231" s="1103">
        <v>46090</v>
      </c>
      <c r="AL231" s="1103">
        <v>46122</v>
      </c>
      <c r="AM231" s="1103">
        <v>46141</v>
      </c>
      <c r="AN231" s="1103">
        <v>46137</v>
      </c>
      <c r="AO231" s="1102" t="s">
        <v>402</v>
      </c>
      <c r="AP231" s="1102" t="s">
        <v>850</v>
      </c>
      <c r="AQ231" s="1102" t="s">
        <v>80</v>
      </c>
      <c r="AR231" s="1102" t="s">
        <v>1194</v>
      </c>
      <c r="AS231" s="1102" t="s">
        <v>1195</v>
      </c>
      <c r="AT231" s="1102" t="s">
        <v>1195</v>
      </c>
      <c r="AU231" s="1102">
        <v>47</v>
      </c>
      <c r="AW231" s="1103">
        <v>46137</v>
      </c>
      <c r="AX231" s="1102" t="s">
        <v>973</v>
      </c>
      <c r="AY231" s="1103">
        <v>46149</v>
      </c>
      <c r="AZ231" s="1102">
        <v>7</v>
      </c>
      <c r="BA231" s="1103">
        <v>46144</v>
      </c>
      <c r="BB231" s="1102">
        <v>2026</v>
      </c>
      <c r="BC231" s="1102">
        <v>5</v>
      </c>
      <c r="BD231" s="1102">
        <v>18</v>
      </c>
      <c r="BE231" s="1102">
        <v>36</v>
      </c>
      <c r="BF231" s="1102">
        <v>864</v>
      </c>
      <c r="BG231" s="1102" t="s">
        <v>108</v>
      </c>
      <c r="BH231" s="1102" t="s">
        <v>109</v>
      </c>
    </row>
    <row r="232" spans="1:60">
      <c r="A232" s="1102" t="s">
        <v>1196</v>
      </c>
      <c r="B232" s="1102" t="s">
        <v>111</v>
      </c>
      <c r="C232" s="1102" t="s">
        <v>1091</v>
      </c>
      <c r="D232" s="1102" t="s">
        <v>63</v>
      </c>
      <c r="E232" s="1102" t="s">
        <v>64</v>
      </c>
      <c r="F232" s="1102" t="s">
        <v>100</v>
      </c>
      <c r="G232" s="1102" t="s">
        <v>402</v>
      </c>
      <c r="H232" s="1102" t="s">
        <v>67</v>
      </c>
      <c r="I232" s="1102" t="s">
        <v>689</v>
      </c>
      <c r="J232" s="1102" t="s">
        <v>1197</v>
      </c>
      <c r="M232" s="1102" t="s">
        <v>68</v>
      </c>
      <c r="N232" s="1102">
        <v>46055</v>
      </c>
      <c r="O232" s="1102" t="s">
        <v>132</v>
      </c>
      <c r="P232" s="1102" t="s">
        <v>189</v>
      </c>
      <c r="Q232" s="1102" t="s">
        <v>190</v>
      </c>
      <c r="R232" s="1102" t="s">
        <v>73</v>
      </c>
      <c r="S232" s="1102" t="s">
        <v>967</v>
      </c>
      <c r="T232" s="1102">
        <v>465</v>
      </c>
      <c r="U232" s="1102">
        <v>5184</v>
      </c>
      <c r="V232" s="1102">
        <v>2.4105599999999998</v>
      </c>
      <c r="W232" s="1102">
        <v>144</v>
      </c>
      <c r="X232" s="1102">
        <v>6</v>
      </c>
      <c r="Y232" s="1102" t="s">
        <v>75</v>
      </c>
      <c r="Z232" s="1102" t="s">
        <v>75</v>
      </c>
      <c r="AB232" s="1103">
        <v>46079</v>
      </c>
      <c r="AC232" s="1102">
        <v>9</v>
      </c>
      <c r="AD232" s="1102" t="s">
        <v>1198</v>
      </c>
      <c r="AF232" s="1102" t="s">
        <v>122</v>
      </c>
      <c r="AG232" s="1102" t="s">
        <v>123</v>
      </c>
      <c r="AH232" s="1102" t="s">
        <v>105</v>
      </c>
      <c r="AI232" s="1103">
        <v>46088</v>
      </c>
      <c r="AJ232" s="1103">
        <v>46086</v>
      </c>
      <c r="AK232" s="1103">
        <v>46090</v>
      </c>
      <c r="AL232" s="1103">
        <v>46122</v>
      </c>
      <c r="AM232" s="1103">
        <v>46141</v>
      </c>
      <c r="AN232" s="1103">
        <v>46137</v>
      </c>
      <c r="AO232" s="1102" t="s">
        <v>402</v>
      </c>
      <c r="AP232" s="1102" t="s">
        <v>1199</v>
      </c>
      <c r="AQ232" s="1102" t="s">
        <v>80</v>
      </c>
      <c r="AR232" s="1102" t="s">
        <v>1194</v>
      </c>
      <c r="AS232" s="1102" t="s">
        <v>1195</v>
      </c>
      <c r="AT232" s="1102" t="s">
        <v>1195</v>
      </c>
      <c r="AU232" s="1102">
        <v>47</v>
      </c>
      <c r="AW232" s="1103">
        <v>46137</v>
      </c>
      <c r="AX232" s="1102" t="s">
        <v>973</v>
      </c>
      <c r="AY232" s="1103">
        <v>46149</v>
      </c>
      <c r="AZ232" s="1102">
        <v>7</v>
      </c>
      <c r="BA232" s="1103">
        <v>46144</v>
      </c>
      <c r="BB232" s="1102">
        <v>2026</v>
      </c>
      <c r="BC232" s="1102">
        <v>5</v>
      </c>
      <c r="BD232" s="1102">
        <v>18</v>
      </c>
      <c r="BE232" s="1102">
        <v>36</v>
      </c>
      <c r="BF232" s="1102">
        <v>864</v>
      </c>
      <c r="BG232" s="1102" t="s">
        <v>108</v>
      </c>
      <c r="BH232" s="1102" t="s">
        <v>109</v>
      </c>
    </row>
    <row r="233" spans="1:60">
      <c r="A233" s="1102" t="s">
        <v>1200</v>
      </c>
      <c r="B233" s="1102" t="s">
        <v>111</v>
      </c>
      <c r="C233" s="1102" t="s">
        <v>1061</v>
      </c>
      <c r="D233" s="1102" t="s">
        <v>63</v>
      </c>
      <c r="E233" s="1102" t="s">
        <v>64</v>
      </c>
      <c r="F233" s="1102" t="s">
        <v>100</v>
      </c>
      <c r="G233" s="1102" t="s">
        <v>402</v>
      </c>
      <c r="H233" s="1102" t="s">
        <v>67</v>
      </c>
      <c r="I233" s="1102" t="s">
        <v>689</v>
      </c>
      <c r="J233" s="1102" t="s">
        <v>101</v>
      </c>
      <c r="M233" s="1102" t="s">
        <v>68</v>
      </c>
      <c r="N233" s="1102" t="s">
        <v>68</v>
      </c>
      <c r="O233" s="1102" t="s">
        <v>132</v>
      </c>
      <c r="P233" s="1102" t="s">
        <v>1062</v>
      </c>
      <c r="Q233" s="1102" t="s">
        <v>1063</v>
      </c>
      <c r="R233" s="1102" t="s">
        <v>73</v>
      </c>
      <c r="S233" s="1102" t="s">
        <v>967</v>
      </c>
      <c r="T233" s="1102">
        <v>470</v>
      </c>
      <c r="U233" s="1102">
        <v>864</v>
      </c>
      <c r="V233" s="1102">
        <v>0.40608</v>
      </c>
      <c r="W233" s="1102">
        <v>24</v>
      </c>
      <c r="X233" s="1102">
        <v>1</v>
      </c>
      <c r="Y233" s="1102" t="s">
        <v>75</v>
      </c>
      <c r="Z233" s="1102" t="s">
        <v>75</v>
      </c>
      <c r="AB233" s="1103">
        <v>46079</v>
      </c>
      <c r="AC233" s="1102">
        <v>9</v>
      </c>
      <c r="AD233" s="1102" t="s">
        <v>1201</v>
      </c>
      <c r="AF233" s="1102" t="s">
        <v>122</v>
      </c>
      <c r="AG233" s="1102" t="s">
        <v>123</v>
      </c>
      <c r="AH233" s="1102" t="s">
        <v>105</v>
      </c>
      <c r="AI233" s="1103">
        <v>46088</v>
      </c>
      <c r="AJ233" s="1103">
        <v>46086</v>
      </c>
      <c r="AK233" s="1103">
        <v>46090</v>
      </c>
      <c r="AL233" s="1103">
        <v>46122</v>
      </c>
      <c r="AM233" s="1103">
        <v>46141</v>
      </c>
      <c r="AN233" s="1103">
        <v>46137</v>
      </c>
      <c r="AO233" s="1102" t="s">
        <v>402</v>
      </c>
      <c r="AP233" s="1102" t="s">
        <v>1199</v>
      </c>
      <c r="AQ233" s="1102" t="s">
        <v>80</v>
      </c>
      <c r="AR233" s="1102" t="s">
        <v>1194</v>
      </c>
      <c r="AS233" s="1102" t="s">
        <v>1195</v>
      </c>
      <c r="AT233" s="1102" t="s">
        <v>1195</v>
      </c>
      <c r="AU233" s="1102">
        <v>47</v>
      </c>
      <c r="AW233" s="1103">
        <v>46137</v>
      </c>
      <c r="AX233" s="1102" t="s">
        <v>973</v>
      </c>
      <c r="AY233" s="1103">
        <v>46149</v>
      </c>
      <c r="AZ233" s="1102">
        <v>7</v>
      </c>
      <c r="BA233" s="1103">
        <v>46144</v>
      </c>
      <c r="BB233" s="1102">
        <v>2026</v>
      </c>
      <c r="BC233" s="1102">
        <v>5</v>
      </c>
      <c r="BD233" s="1102">
        <v>18</v>
      </c>
      <c r="BE233" s="1102">
        <v>36</v>
      </c>
      <c r="BF233" s="1102">
        <v>864</v>
      </c>
      <c r="BG233" s="1102" t="s">
        <v>108</v>
      </c>
      <c r="BH233" s="1102" t="s">
        <v>109</v>
      </c>
    </row>
    <row r="234" spans="1:60">
      <c r="A234" s="1102" t="s">
        <v>1202</v>
      </c>
      <c r="B234" s="1102" t="s">
        <v>111</v>
      </c>
      <c r="C234" s="1102" t="s">
        <v>1091</v>
      </c>
      <c r="D234" s="1102" t="s">
        <v>63</v>
      </c>
      <c r="E234" s="1102" t="s">
        <v>64</v>
      </c>
      <c r="F234" s="1102" t="s">
        <v>450</v>
      </c>
      <c r="G234" s="1102" t="s">
        <v>402</v>
      </c>
      <c r="H234" s="1102" t="s">
        <v>451</v>
      </c>
      <c r="I234" s="1102" t="s">
        <v>689</v>
      </c>
      <c r="J234" s="1102" t="s">
        <v>1203</v>
      </c>
      <c r="M234" s="1102" t="s">
        <v>68</v>
      </c>
      <c r="N234" s="1102">
        <v>46069</v>
      </c>
      <c r="O234" s="1102" t="s">
        <v>132</v>
      </c>
      <c r="P234" s="1102" t="s">
        <v>189</v>
      </c>
      <c r="Q234" s="1102" t="s">
        <v>190</v>
      </c>
      <c r="R234" s="1102" t="s">
        <v>73</v>
      </c>
      <c r="S234" s="1102" t="s">
        <v>967</v>
      </c>
      <c r="T234" s="1102">
        <v>465</v>
      </c>
      <c r="U234" s="1102">
        <v>864</v>
      </c>
      <c r="V234" s="1102">
        <v>0.40176000000000001</v>
      </c>
      <c r="W234" s="1102">
        <v>24</v>
      </c>
      <c r="X234" s="1102">
        <v>1</v>
      </c>
      <c r="Y234" s="1102" t="s">
        <v>75</v>
      </c>
      <c r="Z234" s="1102" t="s">
        <v>75</v>
      </c>
      <c r="AB234" s="1103">
        <v>46077</v>
      </c>
      <c r="AC234" s="1102">
        <v>9</v>
      </c>
      <c r="AD234" s="1102" t="s">
        <v>1204</v>
      </c>
      <c r="AF234" s="1102" t="s">
        <v>122</v>
      </c>
      <c r="AG234" s="1102" t="s">
        <v>123</v>
      </c>
      <c r="AH234" s="1102" t="s">
        <v>456</v>
      </c>
      <c r="AI234" s="1103">
        <v>46083</v>
      </c>
      <c r="AJ234" s="1103">
        <v>46082</v>
      </c>
      <c r="AK234" s="1103">
        <v>46082</v>
      </c>
      <c r="AL234" s="1103">
        <v>46124</v>
      </c>
      <c r="AM234" s="1103">
        <v>46131</v>
      </c>
      <c r="AN234" s="1103">
        <v>46131</v>
      </c>
      <c r="AO234" s="1102" t="s">
        <v>402</v>
      </c>
      <c r="AP234" s="1102" t="s">
        <v>1205</v>
      </c>
      <c r="AQ234" s="1102" t="s">
        <v>80</v>
      </c>
      <c r="AR234" s="1102" t="s">
        <v>1206</v>
      </c>
      <c r="AS234" s="1102" t="s">
        <v>1207</v>
      </c>
      <c r="AT234" s="1102" t="s">
        <v>1207</v>
      </c>
      <c r="AU234" s="1102">
        <v>49</v>
      </c>
      <c r="AW234" s="1103">
        <v>46131</v>
      </c>
      <c r="AX234" s="1102" t="s">
        <v>973</v>
      </c>
      <c r="AY234" s="1103">
        <v>46145</v>
      </c>
      <c r="AZ234" s="1102">
        <v>7</v>
      </c>
      <c r="BA234" s="1103">
        <v>46138</v>
      </c>
      <c r="BB234" s="1102">
        <v>2026</v>
      </c>
      <c r="BC234" s="1102">
        <v>4</v>
      </c>
      <c r="BD234" s="1102">
        <v>17</v>
      </c>
      <c r="BE234" s="1102">
        <v>36</v>
      </c>
      <c r="BF234" s="1102">
        <v>864</v>
      </c>
      <c r="BG234" s="1102" t="s">
        <v>108</v>
      </c>
      <c r="BH234" s="1102" t="s">
        <v>109</v>
      </c>
    </row>
    <row r="235" spans="1:60">
      <c r="A235" s="1102" t="s">
        <v>1208</v>
      </c>
      <c r="B235" s="1102" t="s">
        <v>111</v>
      </c>
      <c r="C235" s="1102" t="s">
        <v>1183</v>
      </c>
      <c r="D235" s="1102" t="s">
        <v>113</v>
      </c>
      <c r="E235" s="1102" t="s">
        <v>64</v>
      </c>
      <c r="F235" s="1102" t="s">
        <v>65</v>
      </c>
      <c r="G235" s="1102" t="s">
        <v>402</v>
      </c>
      <c r="H235" s="1102" t="s">
        <v>67</v>
      </c>
      <c r="I235" s="1102" t="s">
        <v>822</v>
      </c>
      <c r="J235" s="1102" t="s">
        <v>1184</v>
      </c>
      <c r="K235" s="1102" t="s">
        <v>328</v>
      </c>
      <c r="M235" s="1102" t="s">
        <v>68</v>
      </c>
      <c r="N235" s="1102">
        <v>46045</v>
      </c>
      <c r="O235" s="1102" t="s">
        <v>713</v>
      </c>
      <c r="P235" s="1102" t="s">
        <v>1185</v>
      </c>
      <c r="Q235" s="1102" t="s">
        <v>1186</v>
      </c>
      <c r="R235" s="1102" t="s">
        <v>73</v>
      </c>
      <c r="S235" s="1102" t="s">
        <v>1187</v>
      </c>
      <c r="T235" s="1102">
        <v>615</v>
      </c>
      <c r="U235" s="1102">
        <v>720</v>
      </c>
      <c r="V235" s="1102">
        <v>0.44280000000000003</v>
      </c>
      <c r="W235" s="1102">
        <v>20</v>
      </c>
      <c r="X235" s="1102">
        <v>1</v>
      </c>
      <c r="Y235" s="1102" t="s">
        <v>75</v>
      </c>
      <c r="Z235" s="1102" t="s">
        <v>75</v>
      </c>
      <c r="AB235" s="1103">
        <v>46078</v>
      </c>
      <c r="AC235" s="1102">
        <v>9</v>
      </c>
      <c r="AD235" s="1102" t="s">
        <v>1209</v>
      </c>
      <c r="AF235" s="1102" t="s">
        <v>122</v>
      </c>
      <c r="AG235" s="1102" t="s">
        <v>123</v>
      </c>
      <c r="AH235" s="1102" t="s">
        <v>356</v>
      </c>
      <c r="AI235" s="1103">
        <v>46089</v>
      </c>
      <c r="AJ235" s="1103">
        <v>46088</v>
      </c>
      <c r="AK235" s="1103">
        <v>46089</v>
      </c>
      <c r="AL235" s="1103">
        <v>46126</v>
      </c>
      <c r="AM235" s="1103">
        <v>46126</v>
      </c>
      <c r="AN235" s="1103">
        <v>46124</v>
      </c>
      <c r="AO235" s="1102" t="s">
        <v>402</v>
      </c>
      <c r="AP235" s="1102" t="s">
        <v>899</v>
      </c>
      <c r="AQ235" s="1102" t="s">
        <v>80</v>
      </c>
      <c r="AR235" s="1102" t="s">
        <v>900</v>
      </c>
      <c r="AS235" s="1102" t="s">
        <v>901</v>
      </c>
      <c r="AT235" s="1102" t="s">
        <v>901</v>
      </c>
      <c r="AU235" s="1102">
        <v>35</v>
      </c>
      <c r="AW235" s="1103">
        <v>46124</v>
      </c>
      <c r="AX235" s="1102" t="s">
        <v>973</v>
      </c>
      <c r="AY235" s="1103">
        <v>46132</v>
      </c>
      <c r="AZ235" s="1102">
        <v>8</v>
      </c>
      <c r="BA235" s="1103">
        <v>46132</v>
      </c>
      <c r="BB235" s="1102">
        <v>2026</v>
      </c>
      <c r="BC235" s="1102">
        <v>4</v>
      </c>
      <c r="BD235" s="1102">
        <v>17</v>
      </c>
      <c r="BE235" s="1102">
        <v>36</v>
      </c>
      <c r="BF235" s="1102">
        <v>720</v>
      </c>
      <c r="BG235" s="1102" t="s">
        <v>108</v>
      </c>
      <c r="BH235" s="1102" t="s">
        <v>109</v>
      </c>
    </row>
    <row r="236" spans="1:60">
      <c r="A236" s="1102" t="s">
        <v>1210</v>
      </c>
      <c r="B236" s="1102" t="s">
        <v>111</v>
      </c>
      <c r="C236" s="1102" t="s">
        <v>991</v>
      </c>
      <c r="D236" s="1102" t="s">
        <v>63</v>
      </c>
      <c r="E236" s="1102" t="s">
        <v>64</v>
      </c>
      <c r="F236" s="1102" t="s">
        <v>100</v>
      </c>
      <c r="G236" s="1102" t="s">
        <v>402</v>
      </c>
      <c r="H236" s="1102" t="s">
        <v>67</v>
      </c>
      <c r="I236" s="1102" t="s">
        <v>689</v>
      </c>
      <c r="J236" s="1102" t="s">
        <v>101</v>
      </c>
      <c r="M236" s="1102" t="s">
        <v>68</v>
      </c>
      <c r="N236" s="1102">
        <v>46048</v>
      </c>
      <c r="O236" s="1102" t="s">
        <v>132</v>
      </c>
      <c r="P236" s="1102" t="s">
        <v>133</v>
      </c>
      <c r="Q236" s="1102" t="s">
        <v>134</v>
      </c>
      <c r="R236" s="1102" t="s">
        <v>73</v>
      </c>
      <c r="S236" s="1102" t="s">
        <v>992</v>
      </c>
      <c r="T236" s="1102">
        <v>720</v>
      </c>
      <c r="U236" s="1102">
        <v>2970</v>
      </c>
      <c r="V236" s="1102">
        <v>2.1383999999999999</v>
      </c>
      <c r="W236" s="1102">
        <v>90</v>
      </c>
      <c r="X236" s="1102">
        <v>5</v>
      </c>
      <c r="Y236" s="1102" t="s">
        <v>75</v>
      </c>
      <c r="Z236" s="1102" t="s">
        <v>75</v>
      </c>
      <c r="AB236" s="1103">
        <v>46082</v>
      </c>
      <c r="AC236" s="1102">
        <v>9</v>
      </c>
      <c r="AD236" s="1102" t="s">
        <v>1211</v>
      </c>
      <c r="AF236" s="1102" t="s">
        <v>122</v>
      </c>
      <c r="AG236" s="1102" t="s">
        <v>123</v>
      </c>
      <c r="AH236" s="1102" t="s">
        <v>105</v>
      </c>
      <c r="AI236" s="1103">
        <v>46091</v>
      </c>
      <c r="AJ236" s="1103">
        <v>46096</v>
      </c>
      <c r="AK236" s="1103">
        <v>46097</v>
      </c>
      <c r="AL236" s="1103">
        <v>46127</v>
      </c>
      <c r="AM236" s="1103">
        <v>46137</v>
      </c>
      <c r="AN236" s="1103">
        <v>46137</v>
      </c>
      <c r="AO236" s="1102" t="s">
        <v>402</v>
      </c>
      <c r="AP236" s="1102" t="s">
        <v>1212</v>
      </c>
      <c r="AQ236" s="1102" t="s">
        <v>80</v>
      </c>
      <c r="AR236" s="1102" t="s">
        <v>1213</v>
      </c>
      <c r="AS236" s="1102" t="s">
        <v>1214</v>
      </c>
      <c r="AT236" s="1102" t="s">
        <v>1214</v>
      </c>
      <c r="AU236" s="1102">
        <v>40</v>
      </c>
      <c r="AW236" s="1103">
        <v>46137</v>
      </c>
      <c r="AX236" s="1102" t="s">
        <v>973</v>
      </c>
      <c r="AY236" s="1103">
        <v>46149</v>
      </c>
      <c r="AZ236" s="1102">
        <v>7</v>
      </c>
      <c r="BA236" s="1103">
        <v>46144</v>
      </c>
      <c r="BB236" s="1102">
        <v>2026</v>
      </c>
      <c r="BC236" s="1102">
        <v>5</v>
      </c>
      <c r="BD236" s="1102">
        <v>18</v>
      </c>
      <c r="BE236" s="1102">
        <v>33</v>
      </c>
      <c r="BF236" s="1102">
        <v>594</v>
      </c>
      <c r="BG236" s="1102" t="s">
        <v>108</v>
      </c>
      <c r="BH236" s="1102" t="s">
        <v>109</v>
      </c>
    </row>
    <row r="237" spans="1:60">
      <c r="A237" s="1102" t="s">
        <v>1215</v>
      </c>
      <c r="B237" s="1102" t="s">
        <v>111</v>
      </c>
      <c r="C237" s="1102" t="s">
        <v>1061</v>
      </c>
      <c r="D237" s="1102" t="s">
        <v>63</v>
      </c>
      <c r="E237" s="1102" t="s">
        <v>64</v>
      </c>
      <c r="F237" s="1102" t="s">
        <v>100</v>
      </c>
      <c r="G237" s="1102" t="s">
        <v>402</v>
      </c>
      <c r="H237" s="1102" t="s">
        <v>67</v>
      </c>
      <c r="I237" s="1102" t="s">
        <v>689</v>
      </c>
      <c r="J237" s="1102" t="s">
        <v>101</v>
      </c>
      <c r="M237" s="1102" t="s">
        <v>68</v>
      </c>
      <c r="N237" s="1102">
        <v>46076</v>
      </c>
      <c r="O237" s="1102" t="s">
        <v>132</v>
      </c>
      <c r="P237" s="1102" t="s">
        <v>1062</v>
      </c>
      <c r="Q237" s="1102" t="s">
        <v>1063</v>
      </c>
      <c r="R237" s="1102" t="s">
        <v>73</v>
      </c>
      <c r="S237" s="1102" t="s">
        <v>967</v>
      </c>
      <c r="T237" s="1102">
        <v>470</v>
      </c>
      <c r="U237" s="1102">
        <v>3456</v>
      </c>
      <c r="V237" s="1102">
        <v>1.62432</v>
      </c>
      <c r="W237" s="1102">
        <v>96</v>
      </c>
      <c r="X237" s="1102">
        <v>4</v>
      </c>
      <c r="Y237" s="1102" t="s">
        <v>75</v>
      </c>
      <c r="Z237" s="1102" t="s">
        <v>75</v>
      </c>
      <c r="AB237" s="1103">
        <v>46082</v>
      </c>
      <c r="AC237" s="1102">
        <v>9</v>
      </c>
      <c r="AD237" s="1102" t="s">
        <v>1216</v>
      </c>
      <c r="AF237" s="1102" t="s">
        <v>122</v>
      </c>
      <c r="AG237" s="1102" t="s">
        <v>123</v>
      </c>
      <c r="AH237" s="1102" t="s">
        <v>105</v>
      </c>
      <c r="AI237" s="1103">
        <v>46091</v>
      </c>
      <c r="AJ237" s="1103">
        <v>46096</v>
      </c>
      <c r="AK237" s="1103">
        <v>46096</v>
      </c>
      <c r="AL237" s="1103">
        <v>46126</v>
      </c>
      <c r="AM237" s="1103">
        <v>46142</v>
      </c>
      <c r="AN237" s="1103">
        <v>46141</v>
      </c>
      <c r="AO237" s="1102" t="s">
        <v>402</v>
      </c>
      <c r="AP237" s="1102" t="s">
        <v>872</v>
      </c>
      <c r="AQ237" s="1102" t="s">
        <v>80</v>
      </c>
      <c r="AR237" s="1102" t="s">
        <v>909</v>
      </c>
      <c r="AS237" s="1102" t="s">
        <v>910</v>
      </c>
      <c r="AT237" s="1102" t="s">
        <v>910</v>
      </c>
      <c r="AU237" s="1102">
        <v>45</v>
      </c>
      <c r="AW237" s="1103">
        <v>46141</v>
      </c>
      <c r="AX237" s="1102" t="s">
        <v>973</v>
      </c>
      <c r="AY237" s="1103">
        <v>46162</v>
      </c>
      <c r="AZ237" s="1102">
        <v>7</v>
      </c>
      <c r="BA237" s="1103">
        <v>46148</v>
      </c>
      <c r="BB237" s="1102">
        <v>2026</v>
      </c>
      <c r="BC237" s="1102">
        <v>5</v>
      </c>
      <c r="BD237" s="1102">
        <v>19</v>
      </c>
      <c r="BE237" s="1102">
        <v>36</v>
      </c>
      <c r="BF237" s="1102">
        <v>864</v>
      </c>
      <c r="BG237" s="1102" t="s">
        <v>108</v>
      </c>
      <c r="BH237" s="1102" t="s">
        <v>109</v>
      </c>
    </row>
    <row r="238" spans="1:60">
      <c r="A238" s="1102" t="s">
        <v>1217</v>
      </c>
      <c r="B238" s="1102" t="s">
        <v>111</v>
      </c>
      <c r="C238" s="1102" t="s">
        <v>991</v>
      </c>
      <c r="D238" s="1102" t="s">
        <v>63</v>
      </c>
      <c r="E238" s="1102" t="s">
        <v>64</v>
      </c>
      <c r="F238" s="1102" t="s">
        <v>100</v>
      </c>
      <c r="G238" s="1102" t="s">
        <v>402</v>
      </c>
      <c r="H238" s="1102" t="s">
        <v>67</v>
      </c>
      <c r="I238" s="1102" t="s">
        <v>689</v>
      </c>
      <c r="J238" s="1102" t="s">
        <v>101</v>
      </c>
      <c r="M238" s="1102" t="s">
        <v>68</v>
      </c>
      <c r="N238" s="1102">
        <v>46048</v>
      </c>
      <c r="O238" s="1102" t="s">
        <v>132</v>
      </c>
      <c r="P238" s="1102" t="s">
        <v>133</v>
      </c>
      <c r="Q238" s="1102" t="s">
        <v>134</v>
      </c>
      <c r="R238" s="1102" t="s">
        <v>73</v>
      </c>
      <c r="S238" s="1102" t="s">
        <v>992</v>
      </c>
      <c r="T238" s="1102">
        <v>720</v>
      </c>
      <c r="U238" s="1102">
        <v>1188</v>
      </c>
      <c r="V238" s="1102">
        <v>0.85536000000000001</v>
      </c>
      <c r="W238" s="1102">
        <v>36</v>
      </c>
      <c r="X238" s="1102">
        <v>2</v>
      </c>
      <c r="Y238" s="1102" t="s">
        <v>75</v>
      </c>
      <c r="Z238" s="1102" t="s">
        <v>75</v>
      </c>
      <c r="AB238" s="1103">
        <v>46082</v>
      </c>
      <c r="AC238" s="1102">
        <v>9</v>
      </c>
      <c r="AD238" s="1102" t="s">
        <v>1218</v>
      </c>
      <c r="AF238" s="1102" t="s">
        <v>122</v>
      </c>
      <c r="AG238" s="1102" t="s">
        <v>123</v>
      </c>
      <c r="AH238" s="1102" t="s">
        <v>105</v>
      </c>
      <c r="AI238" s="1103">
        <v>46091</v>
      </c>
      <c r="AJ238" s="1103">
        <v>46096</v>
      </c>
      <c r="AK238" s="1103">
        <v>46096</v>
      </c>
      <c r="AL238" s="1103">
        <v>46126</v>
      </c>
      <c r="AM238" s="1103">
        <v>46142</v>
      </c>
      <c r="AN238" s="1103">
        <v>46141</v>
      </c>
      <c r="AO238" s="1102" t="s">
        <v>402</v>
      </c>
      <c r="AP238" s="1102" t="s">
        <v>872</v>
      </c>
      <c r="AQ238" s="1102" t="s">
        <v>80</v>
      </c>
      <c r="AR238" s="1102" t="s">
        <v>909</v>
      </c>
      <c r="AS238" s="1102" t="s">
        <v>910</v>
      </c>
      <c r="AT238" s="1102" t="s">
        <v>910</v>
      </c>
      <c r="AU238" s="1102">
        <v>45</v>
      </c>
      <c r="AW238" s="1103">
        <v>46141</v>
      </c>
      <c r="AX238" s="1102" t="s">
        <v>973</v>
      </c>
      <c r="AY238" s="1103">
        <v>46162</v>
      </c>
      <c r="AZ238" s="1102">
        <v>7</v>
      </c>
      <c r="BA238" s="1103">
        <v>46148</v>
      </c>
      <c r="BB238" s="1102">
        <v>2026</v>
      </c>
      <c r="BC238" s="1102">
        <v>5</v>
      </c>
      <c r="BD238" s="1102">
        <v>19</v>
      </c>
      <c r="BE238" s="1102">
        <v>33</v>
      </c>
      <c r="BF238" s="1102">
        <v>594</v>
      </c>
      <c r="BG238" s="1102" t="s">
        <v>108</v>
      </c>
      <c r="BH238" s="1102" t="s">
        <v>109</v>
      </c>
    </row>
    <row r="239" spans="1:60">
      <c r="A239" s="1102" t="s">
        <v>1219</v>
      </c>
      <c r="B239" s="1102" t="s">
        <v>111</v>
      </c>
      <c r="C239" s="1102" t="s">
        <v>203</v>
      </c>
      <c r="D239" s="1102" t="s">
        <v>63</v>
      </c>
      <c r="E239" s="1102" t="s">
        <v>64</v>
      </c>
      <c r="F239" s="1102" t="s">
        <v>65</v>
      </c>
      <c r="G239" s="1102" t="s">
        <v>402</v>
      </c>
      <c r="H239" s="1102" t="s">
        <v>67</v>
      </c>
      <c r="I239" s="1102" t="s">
        <v>882</v>
      </c>
      <c r="J239" s="1102" t="s">
        <v>1220</v>
      </c>
      <c r="M239" s="1102" t="s">
        <v>68</v>
      </c>
      <c r="N239" s="1102">
        <v>46045</v>
      </c>
      <c r="O239" s="1102" t="s">
        <v>713</v>
      </c>
      <c r="P239" s="1102" t="s">
        <v>1221</v>
      </c>
      <c r="Q239" s="1102" t="s">
        <v>1222</v>
      </c>
      <c r="R239" s="1102" t="s">
        <v>73</v>
      </c>
      <c r="S239" s="1102" t="s">
        <v>1187</v>
      </c>
      <c r="T239" s="1102">
        <v>545</v>
      </c>
      <c r="U239" s="1102">
        <v>3498</v>
      </c>
      <c r="V239" s="1102">
        <v>1.9064099999999999</v>
      </c>
      <c r="W239" s="1102">
        <v>106</v>
      </c>
      <c r="X239" s="1102">
        <v>5.3</v>
      </c>
      <c r="Y239" s="1102" t="s">
        <v>75</v>
      </c>
      <c r="Z239" s="1102" t="s">
        <v>75</v>
      </c>
      <c r="AB239" s="1103">
        <v>46082</v>
      </c>
      <c r="AC239" s="1102">
        <v>9</v>
      </c>
      <c r="AD239" s="1102" t="s">
        <v>1223</v>
      </c>
      <c r="AF239" s="1102" t="s">
        <v>122</v>
      </c>
      <c r="AG239" s="1102" t="s">
        <v>123</v>
      </c>
      <c r="AH239" s="1102" t="s">
        <v>78</v>
      </c>
      <c r="AI239" s="1103">
        <v>46092</v>
      </c>
      <c r="AJ239" s="1103">
        <v>46092</v>
      </c>
      <c r="AK239" s="1103">
        <v>46094</v>
      </c>
      <c r="AL239" s="1103">
        <v>46143</v>
      </c>
      <c r="AM239" s="1103">
        <v>46144</v>
      </c>
      <c r="AN239" s="1103">
        <v>46144</v>
      </c>
      <c r="AO239" s="1102" t="s">
        <v>402</v>
      </c>
      <c r="AP239" s="1102" t="s">
        <v>1224</v>
      </c>
      <c r="AQ239" s="1102" t="s">
        <v>80</v>
      </c>
      <c r="AR239" s="1102" t="s">
        <v>1225</v>
      </c>
      <c r="AS239" s="1102" t="s">
        <v>1226</v>
      </c>
      <c r="AT239" s="1102" t="s">
        <v>1226</v>
      </c>
      <c r="AU239" s="1102">
        <v>50</v>
      </c>
      <c r="AW239" s="1103">
        <v>46144</v>
      </c>
      <c r="AX239" s="1102" t="s">
        <v>973</v>
      </c>
      <c r="AY239" s="1103">
        <v>46159</v>
      </c>
      <c r="AZ239" s="1102">
        <v>8</v>
      </c>
      <c r="BA239" s="1103">
        <v>46152</v>
      </c>
      <c r="BB239" s="1102">
        <v>2026</v>
      </c>
      <c r="BC239" s="1102">
        <v>5</v>
      </c>
      <c r="BD239" s="1102">
        <v>19</v>
      </c>
      <c r="BE239" s="1102">
        <v>33</v>
      </c>
      <c r="BF239" s="1102">
        <v>660</v>
      </c>
      <c r="BG239" s="1102" t="s">
        <v>108</v>
      </c>
      <c r="BH239" s="1102" t="s">
        <v>86</v>
      </c>
    </row>
    <row r="240" spans="1:60">
      <c r="A240" s="1102" t="s">
        <v>1227</v>
      </c>
      <c r="B240" s="1102" t="s">
        <v>111</v>
      </c>
      <c r="C240" s="1102" t="s">
        <v>203</v>
      </c>
      <c r="D240" s="1102" t="s">
        <v>63</v>
      </c>
      <c r="E240" s="1102" t="s">
        <v>64</v>
      </c>
      <c r="F240" s="1102" t="s">
        <v>65</v>
      </c>
      <c r="G240" s="1102" t="s">
        <v>402</v>
      </c>
      <c r="H240" s="1102" t="s">
        <v>67</v>
      </c>
      <c r="I240" s="1102" t="s">
        <v>882</v>
      </c>
      <c r="J240" s="1102" t="s">
        <v>1228</v>
      </c>
      <c r="M240" s="1102" t="s">
        <v>68</v>
      </c>
      <c r="N240" s="1102">
        <v>46045</v>
      </c>
      <c r="O240" s="1102" t="s">
        <v>713</v>
      </c>
      <c r="P240" s="1102" t="s">
        <v>462</v>
      </c>
      <c r="Q240" s="1102" t="s">
        <v>1229</v>
      </c>
      <c r="R240" s="1102" t="s">
        <v>73</v>
      </c>
      <c r="S240" s="1102" t="s">
        <v>1187</v>
      </c>
      <c r="T240" s="1102">
        <v>550</v>
      </c>
      <c r="U240" s="1102">
        <v>462</v>
      </c>
      <c r="V240" s="1102">
        <v>0.25409999999999999</v>
      </c>
      <c r="W240" s="1102">
        <v>14</v>
      </c>
      <c r="X240" s="1102">
        <v>0.7</v>
      </c>
      <c r="Y240" s="1102" t="s">
        <v>75</v>
      </c>
      <c r="Z240" s="1102" t="s">
        <v>75</v>
      </c>
      <c r="AB240" s="1103">
        <v>46082</v>
      </c>
      <c r="AC240" s="1102">
        <v>9</v>
      </c>
      <c r="AD240" s="1102" t="s">
        <v>1230</v>
      </c>
      <c r="AF240" s="1102" t="s">
        <v>122</v>
      </c>
      <c r="AG240" s="1102" t="s">
        <v>123</v>
      </c>
      <c r="AH240" s="1102" t="s">
        <v>78</v>
      </c>
      <c r="AI240" s="1103">
        <v>46092</v>
      </c>
      <c r="AJ240" s="1103">
        <v>46092</v>
      </c>
      <c r="AK240" s="1103">
        <v>46094</v>
      </c>
      <c r="AL240" s="1103">
        <v>46143</v>
      </c>
      <c r="AM240" s="1103">
        <v>46144</v>
      </c>
      <c r="AN240" s="1103">
        <v>46144</v>
      </c>
      <c r="AO240" s="1102" t="s">
        <v>402</v>
      </c>
      <c r="AP240" s="1102" t="s">
        <v>1224</v>
      </c>
      <c r="AQ240" s="1102" t="s">
        <v>80</v>
      </c>
      <c r="AR240" s="1102" t="s">
        <v>1225</v>
      </c>
      <c r="AS240" s="1102" t="s">
        <v>1226</v>
      </c>
      <c r="AT240" s="1102" t="s">
        <v>1226</v>
      </c>
      <c r="AU240" s="1102">
        <v>50</v>
      </c>
      <c r="AW240" s="1103">
        <v>46144</v>
      </c>
      <c r="AX240" s="1102" t="s">
        <v>973</v>
      </c>
      <c r="AY240" s="1103">
        <v>46159</v>
      </c>
      <c r="AZ240" s="1102">
        <v>8</v>
      </c>
      <c r="BA240" s="1103">
        <v>46152</v>
      </c>
      <c r="BB240" s="1102">
        <v>2026</v>
      </c>
      <c r="BC240" s="1102">
        <v>5</v>
      </c>
      <c r="BD240" s="1102">
        <v>19</v>
      </c>
      <c r="BE240" s="1102">
        <v>33</v>
      </c>
      <c r="BF240" s="1102">
        <v>660</v>
      </c>
      <c r="BG240" s="1102" t="s">
        <v>108</v>
      </c>
      <c r="BH240" s="1102" t="s">
        <v>86</v>
      </c>
    </row>
    <row r="241" spans="1:60">
      <c r="A241" s="1102" t="s">
        <v>1231</v>
      </c>
      <c r="B241" s="1102" t="s">
        <v>61</v>
      </c>
      <c r="C241" s="1102" t="s">
        <v>203</v>
      </c>
      <c r="D241" s="1102" t="s">
        <v>63</v>
      </c>
      <c r="E241" s="1102" t="s">
        <v>144</v>
      </c>
      <c r="F241" s="1102" t="s">
        <v>145</v>
      </c>
      <c r="G241" s="1102" t="s">
        <v>402</v>
      </c>
      <c r="H241" s="1102" t="s">
        <v>538</v>
      </c>
      <c r="I241" s="1102" t="s">
        <v>882</v>
      </c>
      <c r="J241" s="1102" t="s">
        <v>1232</v>
      </c>
      <c r="K241" s="1102" t="s">
        <v>1233</v>
      </c>
      <c r="M241" s="1102" t="s">
        <v>840</v>
      </c>
      <c r="N241" s="1102">
        <v>46045</v>
      </c>
      <c r="O241" s="1102" t="s">
        <v>1032</v>
      </c>
      <c r="P241" s="1102" t="s">
        <v>1234</v>
      </c>
      <c r="Q241" s="1102" t="s">
        <v>1235</v>
      </c>
      <c r="R241" s="1102" t="s">
        <v>73</v>
      </c>
      <c r="S241" s="1102" t="s">
        <v>992</v>
      </c>
      <c r="T241" s="1102">
        <v>440</v>
      </c>
      <c r="U241" s="1102">
        <v>4392</v>
      </c>
      <c r="V241" s="1102">
        <v>1.93248</v>
      </c>
      <c r="W241" s="1102">
        <v>122</v>
      </c>
      <c r="X241" s="1102">
        <v>4.6923076923076925</v>
      </c>
      <c r="Y241" s="1102" t="s">
        <v>75</v>
      </c>
      <c r="Z241" s="1102" t="s">
        <v>75</v>
      </c>
      <c r="AB241" s="1103">
        <v>46081</v>
      </c>
      <c r="AC241" s="1102">
        <v>9</v>
      </c>
      <c r="AD241" s="1102" t="s">
        <v>1236</v>
      </c>
      <c r="AF241" s="1102" t="s">
        <v>77</v>
      </c>
      <c r="AG241" s="1102" t="s">
        <v>61</v>
      </c>
      <c r="AH241" s="1102" t="s">
        <v>541</v>
      </c>
      <c r="AI241" s="1103">
        <v>46088</v>
      </c>
      <c r="AJ241" s="1103">
        <v>46091</v>
      </c>
      <c r="AK241" s="1103">
        <v>46090</v>
      </c>
      <c r="AL241" s="1103">
        <v>46154</v>
      </c>
      <c r="AM241" s="1103">
        <v>46168</v>
      </c>
      <c r="AN241" s="1103">
        <v>46164</v>
      </c>
      <c r="AO241" s="1102" t="s">
        <v>402</v>
      </c>
      <c r="AP241" s="1102" t="s">
        <v>1237</v>
      </c>
      <c r="AQ241" s="1102" t="s">
        <v>161</v>
      </c>
      <c r="AR241" s="1102" t="s">
        <v>1238</v>
      </c>
      <c r="AS241" s="1102" t="s">
        <v>1239</v>
      </c>
      <c r="AT241" s="1102" t="s">
        <v>1239</v>
      </c>
      <c r="AU241" s="1102">
        <v>74</v>
      </c>
      <c r="AW241" s="1103">
        <v>46164</v>
      </c>
      <c r="AX241" s="1102" t="s">
        <v>973</v>
      </c>
      <c r="AY241" s="1103">
        <v>46167</v>
      </c>
      <c r="AZ241" s="1102">
        <v>0</v>
      </c>
      <c r="BA241" s="1103">
        <v>46164</v>
      </c>
      <c r="BB241" s="1102">
        <v>2026</v>
      </c>
      <c r="BC241" s="1102">
        <v>5</v>
      </c>
      <c r="BD241" s="1102">
        <v>21</v>
      </c>
      <c r="BE241" s="1102">
        <v>36</v>
      </c>
      <c r="BF241" s="1102">
        <v>936</v>
      </c>
      <c r="BG241" s="1102" t="s">
        <v>85</v>
      </c>
      <c r="BH241" s="1102" t="s">
        <v>109</v>
      </c>
    </row>
    <row r="242" spans="1:60">
      <c r="A242" s="1102" t="s">
        <v>1240</v>
      </c>
      <c r="B242" s="1102" t="s">
        <v>61</v>
      </c>
      <c r="C242" s="1102" t="s">
        <v>203</v>
      </c>
      <c r="D242" s="1102" t="s">
        <v>63</v>
      </c>
      <c r="E242" s="1102" t="s">
        <v>144</v>
      </c>
      <c r="F242" s="1102" t="s">
        <v>145</v>
      </c>
      <c r="G242" s="1102" t="s">
        <v>402</v>
      </c>
      <c r="H242" s="1102" t="s">
        <v>538</v>
      </c>
      <c r="I242" s="1102" t="s">
        <v>882</v>
      </c>
      <c r="J242" s="1102" t="s">
        <v>1232</v>
      </c>
      <c r="K242" s="1102" t="s">
        <v>1233</v>
      </c>
      <c r="M242" s="1102" t="s">
        <v>840</v>
      </c>
      <c r="N242" s="1102">
        <v>46045</v>
      </c>
      <c r="O242" s="1102" t="s">
        <v>1032</v>
      </c>
      <c r="P242" s="1102" t="s">
        <v>570</v>
      </c>
      <c r="Q242" s="1102" t="s">
        <v>571</v>
      </c>
      <c r="R242" s="1102" t="s">
        <v>73</v>
      </c>
      <c r="S242" s="1102" t="s">
        <v>992</v>
      </c>
      <c r="T242" s="1102">
        <v>445</v>
      </c>
      <c r="U242" s="1102">
        <v>8352</v>
      </c>
      <c r="V242" s="1102">
        <v>3.7166399999999999</v>
      </c>
      <c r="W242" s="1102">
        <v>232</v>
      </c>
      <c r="X242" s="1102">
        <v>8.9230769230769234</v>
      </c>
      <c r="Y242" s="1102" t="s">
        <v>75</v>
      </c>
      <c r="Z242" s="1102" t="s">
        <v>75</v>
      </c>
      <c r="AB242" s="1103">
        <v>46081</v>
      </c>
      <c r="AC242" s="1102">
        <v>9</v>
      </c>
      <c r="AD242" s="1102" t="s">
        <v>1241</v>
      </c>
      <c r="AF242" s="1102" t="s">
        <v>77</v>
      </c>
      <c r="AG242" s="1102" t="s">
        <v>61</v>
      </c>
      <c r="AH242" s="1102" t="s">
        <v>541</v>
      </c>
      <c r="AI242" s="1103">
        <v>46088</v>
      </c>
      <c r="AJ242" s="1103">
        <v>46091</v>
      </c>
      <c r="AK242" s="1103">
        <v>46090</v>
      </c>
      <c r="AL242" s="1103">
        <v>46154</v>
      </c>
      <c r="AM242" s="1103">
        <v>46168</v>
      </c>
      <c r="AN242" s="1103">
        <v>46164</v>
      </c>
      <c r="AO242" s="1102" t="s">
        <v>402</v>
      </c>
      <c r="AP242" s="1102" t="s">
        <v>1237</v>
      </c>
      <c r="AQ242" s="1102" t="s">
        <v>161</v>
      </c>
      <c r="AR242" s="1102" t="s">
        <v>1238</v>
      </c>
      <c r="AS242" s="1102" t="s">
        <v>1239</v>
      </c>
      <c r="AT242" s="1102" t="s">
        <v>1239</v>
      </c>
      <c r="AU242" s="1102">
        <v>74</v>
      </c>
      <c r="AW242" s="1103">
        <v>46164</v>
      </c>
      <c r="AX242" s="1102" t="s">
        <v>973</v>
      </c>
      <c r="AY242" s="1103">
        <v>46167</v>
      </c>
      <c r="AZ242" s="1102">
        <v>0</v>
      </c>
      <c r="BA242" s="1103">
        <v>46164</v>
      </c>
      <c r="BB242" s="1102">
        <v>2026</v>
      </c>
      <c r="BC242" s="1102">
        <v>5</v>
      </c>
      <c r="BD242" s="1102">
        <v>21</v>
      </c>
      <c r="BE242" s="1102">
        <v>36</v>
      </c>
      <c r="BF242" s="1102">
        <v>936</v>
      </c>
      <c r="BG242" s="1102" t="s">
        <v>94</v>
      </c>
      <c r="BH242" s="1102" t="s">
        <v>109</v>
      </c>
    </row>
    <row r="243" spans="1:60">
      <c r="A243" s="1102" t="s">
        <v>1242</v>
      </c>
      <c r="B243" s="1102" t="s">
        <v>61</v>
      </c>
      <c r="C243" s="1102" t="s">
        <v>203</v>
      </c>
      <c r="D243" s="1102" t="s">
        <v>63</v>
      </c>
      <c r="E243" s="1102" t="s">
        <v>144</v>
      </c>
      <c r="F243" s="1102" t="s">
        <v>145</v>
      </c>
      <c r="G243" s="1102" t="s">
        <v>402</v>
      </c>
      <c r="H243" s="1102" t="s">
        <v>538</v>
      </c>
      <c r="I243" s="1102" t="s">
        <v>822</v>
      </c>
      <c r="J243" s="1102" t="s">
        <v>1232</v>
      </c>
      <c r="K243" s="1102" t="s">
        <v>1233</v>
      </c>
      <c r="M243" s="1102" t="s">
        <v>840</v>
      </c>
      <c r="N243" s="1102">
        <v>46046</v>
      </c>
      <c r="O243" s="1102" t="s">
        <v>1032</v>
      </c>
      <c r="P243" s="1102" t="s">
        <v>791</v>
      </c>
      <c r="Q243" s="1102" t="s">
        <v>571</v>
      </c>
      <c r="R243" s="1102" t="s">
        <v>73</v>
      </c>
      <c r="S243" s="1102" t="s">
        <v>992</v>
      </c>
      <c r="T243" s="1102">
        <v>445</v>
      </c>
      <c r="U243" s="1102">
        <v>720</v>
      </c>
      <c r="V243" s="1102">
        <v>0.32040000000000002</v>
      </c>
      <c r="W243" s="1102">
        <v>20</v>
      </c>
      <c r="X243" s="1102">
        <v>0.76923076923076927</v>
      </c>
      <c r="Y243" s="1102" t="s">
        <v>75</v>
      </c>
      <c r="Z243" s="1102" t="s">
        <v>75</v>
      </c>
      <c r="AB243" s="1103">
        <v>46081</v>
      </c>
      <c r="AC243" s="1102">
        <v>9</v>
      </c>
      <c r="AD243" s="1102" t="s">
        <v>1243</v>
      </c>
      <c r="AF243" s="1102" t="s">
        <v>77</v>
      </c>
      <c r="AG243" s="1102" t="s">
        <v>61</v>
      </c>
      <c r="AH243" s="1102" t="s">
        <v>541</v>
      </c>
      <c r="AI243" s="1103">
        <v>46088</v>
      </c>
      <c r="AJ243" s="1103">
        <v>46091</v>
      </c>
      <c r="AK243" s="1103">
        <v>46090</v>
      </c>
      <c r="AL243" s="1103">
        <v>46154</v>
      </c>
      <c r="AM243" s="1103">
        <v>46168</v>
      </c>
      <c r="AN243" s="1103">
        <v>46164</v>
      </c>
      <c r="AO243" s="1102" t="s">
        <v>402</v>
      </c>
      <c r="AP243" s="1102" t="s">
        <v>1237</v>
      </c>
      <c r="AQ243" s="1102" t="s">
        <v>161</v>
      </c>
      <c r="AR243" s="1102" t="s">
        <v>1238</v>
      </c>
      <c r="AS243" s="1102" t="s">
        <v>1239</v>
      </c>
      <c r="AT243" s="1102" t="s">
        <v>1239</v>
      </c>
      <c r="AU243" s="1102">
        <v>74</v>
      </c>
      <c r="AW243" s="1103">
        <v>46164</v>
      </c>
      <c r="AX243" s="1102" t="s">
        <v>973</v>
      </c>
      <c r="AY243" s="1103">
        <v>46167</v>
      </c>
      <c r="AZ243" s="1102">
        <v>0</v>
      </c>
      <c r="BA243" s="1103">
        <v>46164</v>
      </c>
      <c r="BB243" s="1102">
        <v>2026</v>
      </c>
      <c r="BC243" s="1102">
        <v>5</v>
      </c>
      <c r="BD243" s="1102">
        <v>21</v>
      </c>
      <c r="BE243" s="1102">
        <v>36</v>
      </c>
      <c r="BF243" s="1102">
        <v>936</v>
      </c>
      <c r="BG243" s="1102" t="s">
        <v>85</v>
      </c>
      <c r="BH243" s="1102" t="s">
        <v>109</v>
      </c>
    </row>
    <row r="244" spans="1:60">
      <c r="A244" s="1102" t="s">
        <v>1244</v>
      </c>
      <c r="B244" s="1102" t="s">
        <v>61</v>
      </c>
      <c r="C244" s="1102" t="s">
        <v>203</v>
      </c>
      <c r="D244" s="1102" t="s">
        <v>63</v>
      </c>
      <c r="E244" s="1102" t="s">
        <v>144</v>
      </c>
      <c r="F244" s="1102" t="s">
        <v>145</v>
      </c>
      <c r="G244" s="1102" t="s">
        <v>402</v>
      </c>
      <c r="H244" s="1102" t="s">
        <v>538</v>
      </c>
      <c r="I244" s="1102" t="s">
        <v>882</v>
      </c>
      <c r="J244" s="1102" t="s">
        <v>1232</v>
      </c>
      <c r="K244" s="1102" t="s">
        <v>1233</v>
      </c>
      <c r="M244" s="1102" t="s">
        <v>840</v>
      </c>
      <c r="N244" s="1102">
        <v>46045</v>
      </c>
      <c r="O244" s="1102" t="s">
        <v>1032</v>
      </c>
      <c r="P244" s="1102" t="s">
        <v>560</v>
      </c>
      <c r="Q244" s="1102" t="s">
        <v>196</v>
      </c>
      <c r="R244" s="1102" t="s">
        <v>73</v>
      </c>
      <c r="S244" s="1102" t="s">
        <v>992</v>
      </c>
      <c r="T244" s="1102">
        <v>450</v>
      </c>
      <c r="U244" s="1102">
        <v>1044</v>
      </c>
      <c r="V244" s="1102">
        <v>0.4698</v>
      </c>
      <c r="W244" s="1102">
        <v>29</v>
      </c>
      <c r="X244" s="1102">
        <v>1.1153846153846154</v>
      </c>
      <c r="Y244" s="1102" t="s">
        <v>75</v>
      </c>
      <c r="Z244" s="1102" t="s">
        <v>75</v>
      </c>
      <c r="AB244" s="1103">
        <v>46081</v>
      </c>
      <c r="AC244" s="1102">
        <v>9</v>
      </c>
      <c r="AD244" s="1102" t="s">
        <v>1245</v>
      </c>
      <c r="AF244" s="1102" t="s">
        <v>77</v>
      </c>
      <c r="AG244" s="1102" t="s">
        <v>61</v>
      </c>
      <c r="AH244" s="1102" t="s">
        <v>541</v>
      </c>
      <c r="AI244" s="1103">
        <v>46088</v>
      </c>
      <c r="AJ244" s="1103">
        <v>46091</v>
      </c>
      <c r="AK244" s="1103">
        <v>46090</v>
      </c>
      <c r="AL244" s="1103">
        <v>46154</v>
      </c>
      <c r="AM244" s="1103">
        <v>46168</v>
      </c>
      <c r="AN244" s="1103">
        <v>46164</v>
      </c>
      <c r="AO244" s="1102" t="s">
        <v>402</v>
      </c>
      <c r="AP244" s="1102" t="s">
        <v>1237</v>
      </c>
      <c r="AQ244" s="1102" t="s">
        <v>161</v>
      </c>
      <c r="AR244" s="1102" t="s">
        <v>1238</v>
      </c>
      <c r="AS244" s="1102" t="s">
        <v>1239</v>
      </c>
      <c r="AT244" s="1102" t="s">
        <v>1239</v>
      </c>
      <c r="AU244" s="1102">
        <v>74</v>
      </c>
      <c r="AW244" s="1103">
        <v>46164</v>
      </c>
      <c r="AX244" s="1102" t="s">
        <v>973</v>
      </c>
      <c r="AY244" s="1103">
        <v>46167</v>
      </c>
      <c r="AZ244" s="1102">
        <v>0</v>
      </c>
      <c r="BA244" s="1103">
        <v>46164</v>
      </c>
      <c r="BB244" s="1102">
        <v>2026</v>
      </c>
      <c r="BC244" s="1102">
        <v>5</v>
      </c>
      <c r="BD244" s="1102">
        <v>21</v>
      </c>
      <c r="BE244" s="1102">
        <v>36</v>
      </c>
      <c r="BF244" s="1102">
        <v>936</v>
      </c>
      <c r="BG244" s="1102" t="s">
        <v>94</v>
      </c>
      <c r="BH244" s="1102" t="s">
        <v>109</v>
      </c>
    </row>
    <row r="245" spans="1:60">
      <c r="A245" s="1102" t="s">
        <v>1246</v>
      </c>
      <c r="B245" s="1102" t="s">
        <v>61</v>
      </c>
      <c r="C245" s="1102" t="s">
        <v>203</v>
      </c>
      <c r="D245" s="1102" t="s">
        <v>63</v>
      </c>
      <c r="E245" s="1102" t="s">
        <v>144</v>
      </c>
      <c r="F245" s="1102" t="s">
        <v>145</v>
      </c>
      <c r="G245" s="1102" t="s">
        <v>402</v>
      </c>
      <c r="H245" s="1102" t="s">
        <v>538</v>
      </c>
      <c r="I245" s="1102" t="s">
        <v>882</v>
      </c>
      <c r="J245" s="1102" t="s">
        <v>1232</v>
      </c>
      <c r="K245" s="1102" t="s">
        <v>1233</v>
      </c>
      <c r="M245" s="1102" t="s">
        <v>840</v>
      </c>
      <c r="N245" s="1102" t="s">
        <v>68</v>
      </c>
      <c r="O245" s="1102" t="s">
        <v>1032</v>
      </c>
      <c r="P245" s="1102" t="s">
        <v>1247</v>
      </c>
      <c r="Q245" s="1102" t="s">
        <v>196</v>
      </c>
      <c r="R245" s="1102" t="s">
        <v>73</v>
      </c>
      <c r="S245" s="1102" t="s">
        <v>992</v>
      </c>
      <c r="T245" s="1102">
        <v>450</v>
      </c>
      <c r="U245" s="1102">
        <v>360</v>
      </c>
      <c r="V245" s="1102">
        <v>0.16200000000000001</v>
      </c>
      <c r="W245" s="1102">
        <v>10</v>
      </c>
      <c r="X245" s="1102">
        <v>0.38461538461538464</v>
      </c>
      <c r="Y245" s="1102" t="s">
        <v>75</v>
      </c>
      <c r="Z245" s="1102" t="s">
        <v>75</v>
      </c>
      <c r="AB245" s="1103">
        <v>46081</v>
      </c>
      <c r="AC245" s="1102">
        <v>9</v>
      </c>
      <c r="AD245" s="1102" t="s">
        <v>1248</v>
      </c>
      <c r="AF245" s="1102" t="s">
        <v>77</v>
      </c>
      <c r="AG245" s="1102" t="s">
        <v>61</v>
      </c>
      <c r="AH245" s="1102" t="s">
        <v>541</v>
      </c>
      <c r="AI245" s="1103">
        <v>46088</v>
      </c>
      <c r="AJ245" s="1103">
        <v>46091</v>
      </c>
      <c r="AK245" s="1103">
        <v>46090</v>
      </c>
      <c r="AL245" s="1103">
        <v>46154</v>
      </c>
      <c r="AM245" s="1103">
        <v>46168</v>
      </c>
      <c r="AN245" s="1103">
        <v>46164</v>
      </c>
      <c r="AO245" s="1102" t="s">
        <v>402</v>
      </c>
      <c r="AP245" s="1102" t="s">
        <v>1237</v>
      </c>
      <c r="AQ245" s="1102" t="s">
        <v>161</v>
      </c>
      <c r="AR245" s="1102" t="s">
        <v>1238</v>
      </c>
      <c r="AS245" s="1102" t="s">
        <v>1239</v>
      </c>
      <c r="AT245" s="1102" t="s">
        <v>1239</v>
      </c>
      <c r="AU245" s="1102">
        <v>74</v>
      </c>
      <c r="AW245" s="1103">
        <v>46164</v>
      </c>
      <c r="AX245" s="1102" t="s">
        <v>973</v>
      </c>
      <c r="AY245" s="1103">
        <v>46167</v>
      </c>
      <c r="AZ245" s="1102">
        <v>0</v>
      </c>
      <c r="BA245" s="1103">
        <v>46164</v>
      </c>
      <c r="BB245" s="1102">
        <v>2026</v>
      </c>
      <c r="BC245" s="1102">
        <v>5</v>
      </c>
      <c r="BD245" s="1102">
        <v>21</v>
      </c>
      <c r="BE245" s="1102">
        <v>36</v>
      </c>
      <c r="BF245" s="1102">
        <v>936</v>
      </c>
      <c r="BG245" s="1102" t="s">
        <v>85</v>
      </c>
      <c r="BH245" s="1102" t="s">
        <v>109</v>
      </c>
    </row>
    <row r="246" spans="1:60">
      <c r="A246" s="1102" t="s">
        <v>1249</v>
      </c>
      <c r="B246" s="1102" t="s">
        <v>61</v>
      </c>
      <c r="C246" s="1102" t="s">
        <v>203</v>
      </c>
      <c r="D246" s="1102" t="s">
        <v>63</v>
      </c>
      <c r="E246" s="1102" t="s">
        <v>144</v>
      </c>
      <c r="F246" s="1102" t="s">
        <v>145</v>
      </c>
      <c r="G246" s="1102" t="s">
        <v>402</v>
      </c>
      <c r="H246" s="1102" t="s">
        <v>538</v>
      </c>
      <c r="I246" s="1102" t="s">
        <v>882</v>
      </c>
      <c r="J246" s="1102" t="s">
        <v>1232</v>
      </c>
      <c r="K246" s="1102" t="s">
        <v>1233</v>
      </c>
      <c r="M246" s="1102" t="s">
        <v>840</v>
      </c>
      <c r="N246" s="1102">
        <v>46045</v>
      </c>
      <c r="O246" s="1102" t="s">
        <v>1032</v>
      </c>
      <c r="P246" s="1102" t="s">
        <v>1250</v>
      </c>
      <c r="Q246" s="1102" t="s">
        <v>1251</v>
      </c>
      <c r="R246" s="1102" t="s">
        <v>73</v>
      </c>
      <c r="S246" s="1102" t="s">
        <v>992</v>
      </c>
      <c r="T246" s="1102">
        <v>440</v>
      </c>
      <c r="U246" s="1102">
        <v>108</v>
      </c>
      <c r="V246" s="1102">
        <v>4.752E-2</v>
      </c>
      <c r="W246" s="1102">
        <v>3</v>
      </c>
      <c r="X246" s="1102">
        <v>0.11538461538461539</v>
      </c>
      <c r="Y246" s="1102" t="s">
        <v>75</v>
      </c>
      <c r="Z246" s="1102" t="s">
        <v>75</v>
      </c>
      <c r="AB246" s="1103">
        <v>46081</v>
      </c>
      <c r="AC246" s="1102">
        <v>9</v>
      </c>
      <c r="AD246" s="1102" t="s">
        <v>1252</v>
      </c>
      <c r="AF246" s="1102" t="s">
        <v>77</v>
      </c>
      <c r="AG246" s="1102" t="s">
        <v>61</v>
      </c>
      <c r="AH246" s="1102" t="s">
        <v>541</v>
      </c>
      <c r="AI246" s="1103">
        <v>46088</v>
      </c>
      <c r="AJ246" s="1103">
        <v>46091</v>
      </c>
      <c r="AK246" s="1103">
        <v>46090</v>
      </c>
      <c r="AL246" s="1103">
        <v>46154</v>
      </c>
      <c r="AM246" s="1103">
        <v>46168</v>
      </c>
      <c r="AN246" s="1103">
        <v>46164</v>
      </c>
      <c r="AO246" s="1102" t="s">
        <v>402</v>
      </c>
      <c r="AP246" s="1102" t="s">
        <v>1237</v>
      </c>
      <c r="AQ246" s="1102" t="s">
        <v>161</v>
      </c>
      <c r="AR246" s="1102" t="s">
        <v>1238</v>
      </c>
      <c r="AS246" s="1102" t="s">
        <v>1239</v>
      </c>
      <c r="AT246" s="1102" t="s">
        <v>1239</v>
      </c>
      <c r="AU246" s="1102">
        <v>74</v>
      </c>
      <c r="AW246" s="1103">
        <v>46164</v>
      </c>
      <c r="AX246" s="1102" t="s">
        <v>973</v>
      </c>
      <c r="AY246" s="1103">
        <v>46167</v>
      </c>
      <c r="AZ246" s="1102">
        <v>0</v>
      </c>
      <c r="BA246" s="1103">
        <v>46164</v>
      </c>
      <c r="BB246" s="1102">
        <v>2026</v>
      </c>
      <c r="BC246" s="1102">
        <v>5</v>
      </c>
      <c r="BD246" s="1102">
        <v>21</v>
      </c>
      <c r="BE246" s="1102">
        <v>36</v>
      </c>
      <c r="BF246" s="1102">
        <v>936</v>
      </c>
      <c r="BG246" s="1102" t="s">
        <v>85</v>
      </c>
      <c r="BH246" s="1102" t="s">
        <v>109</v>
      </c>
    </row>
    <row r="247" spans="1:60">
      <c r="A247" s="1102" t="s">
        <v>1253</v>
      </c>
      <c r="B247" s="1102" t="s">
        <v>61</v>
      </c>
      <c r="C247" s="1102" t="s">
        <v>203</v>
      </c>
      <c r="D247" s="1102" t="s">
        <v>63</v>
      </c>
      <c r="E247" s="1102" t="s">
        <v>144</v>
      </c>
      <c r="F247" s="1102" t="s">
        <v>145</v>
      </c>
      <c r="G247" s="1102" t="s">
        <v>402</v>
      </c>
      <c r="H247" s="1102" t="s">
        <v>538</v>
      </c>
      <c r="I247" s="1102" t="s">
        <v>882</v>
      </c>
      <c r="J247" s="1102" t="s">
        <v>1254</v>
      </c>
      <c r="K247" s="1102" t="s">
        <v>1233</v>
      </c>
      <c r="M247" s="1102" t="s">
        <v>840</v>
      </c>
      <c r="N247" s="1102">
        <v>46045</v>
      </c>
      <c r="O247" s="1102" t="s">
        <v>1032</v>
      </c>
      <c r="P247" s="1102" t="s">
        <v>1255</v>
      </c>
      <c r="Q247" s="1102" t="s">
        <v>72</v>
      </c>
      <c r="R247" s="1102" t="s">
        <v>73</v>
      </c>
      <c r="S247" s="1102" t="s">
        <v>992</v>
      </c>
      <c r="T247" s="1102">
        <v>500</v>
      </c>
      <c r="U247" s="1102">
        <v>180</v>
      </c>
      <c r="V247" s="1102">
        <v>0.09</v>
      </c>
      <c r="W247" s="1102">
        <v>5</v>
      </c>
      <c r="X247" s="1102">
        <v>0.20833333333333334</v>
      </c>
      <c r="Y247" s="1102" t="s">
        <v>75</v>
      </c>
      <c r="Z247" s="1102" t="s">
        <v>75</v>
      </c>
      <c r="AB247" s="1103">
        <v>46081</v>
      </c>
      <c r="AC247" s="1102">
        <v>9</v>
      </c>
      <c r="AD247" s="1102" t="s">
        <v>1256</v>
      </c>
      <c r="AF247" s="1102" t="s">
        <v>77</v>
      </c>
      <c r="AG247" s="1102" t="s">
        <v>61</v>
      </c>
      <c r="AH247" s="1102" t="s">
        <v>541</v>
      </c>
      <c r="AI247" s="1103">
        <v>46088</v>
      </c>
      <c r="AJ247" s="1103">
        <v>46091</v>
      </c>
      <c r="AK247" s="1103">
        <v>46090</v>
      </c>
      <c r="AL247" s="1103">
        <v>46154</v>
      </c>
      <c r="AM247" s="1103">
        <v>46168</v>
      </c>
      <c r="AN247" s="1103">
        <v>46164</v>
      </c>
      <c r="AO247" s="1102" t="s">
        <v>402</v>
      </c>
      <c r="AP247" s="1102" t="s">
        <v>1237</v>
      </c>
      <c r="AQ247" s="1102" t="s">
        <v>161</v>
      </c>
      <c r="AR247" s="1102" t="s">
        <v>1238</v>
      </c>
      <c r="AS247" s="1102" t="s">
        <v>1239</v>
      </c>
      <c r="AT247" s="1102" t="s">
        <v>1239</v>
      </c>
      <c r="AU247" s="1102">
        <v>74</v>
      </c>
      <c r="AW247" s="1103">
        <v>46164</v>
      </c>
      <c r="AX247" s="1102" t="s">
        <v>973</v>
      </c>
      <c r="AY247" s="1103">
        <v>46167</v>
      </c>
      <c r="AZ247" s="1102">
        <v>0</v>
      </c>
      <c r="BA247" s="1103">
        <v>46164</v>
      </c>
      <c r="BB247" s="1102">
        <v>2026</v>
      </c>
      <c r="BC247" s="1102">
        <v>5</v>
      </c>
      <c r="BD247" s="1102">
        <v>21</v>
      </c>
      <c r="BE247" s="1102">
        <v>36</v>
      </c>
      <c r="BF247" s="1102">
        <v>864</v>
      </c>
      <c r="BG247" s="1102" t="s">
        <v>85</v>
      </c>
      <c r="BH247" s="1102" t="s">
        <v>109</v>
      </c>
    </row>
    <row r="248" spans="1:60">
      <c r="A248" s="1102" t="s">
        <v>1257</v>
      </c>
      <c r="B248" s="1102" t="s">
        <v>61</v>
      </c>
      <c r="C248" s="1102" t="s">
        <v>203</v>
      </c>
      <c r="D248" s="1102" t="s">
        <v>63</v>
      </c>
      <c r="E248" s="1102" t="s">
        <v>144</v>
      </c>
      <c r="F248" s="1102" t="s">
        <v>145</v>
      </c>
      <c r="G248" s="1102" t="s">
        <v>402</v>
      </c>
      <c r="H248" s="1102" t="s">
        <v>538</v>
      </c>
      <c r="I248" s="1102" t="s">
        <v>882</v>
      </c>
      <c r="J248" s="1102" t="s">
        <v>1258</v>
      </c>
      <c r="K248" s="1102" t="s">
        <v>1233</v>
      </c>
      <c r="M248" s="1102" t="s">
        <v>840</v>
      </c>
      <c r="N248" s="1102">
        <v>46045</v>
      </c>
      <c r="O248" s="1102" t="s">
        <v>1032</v>
      </c>
      <c r="P248" s="1102" t="s">
        <v>1259</v>
      </c>
      <c r="Q248" s="1102" t="s">
        <v>421</v>
      </c>
      <c r="R248" s="1102" t="s">
        <v>73</v>
      </c>
      <c r="S248" s="1102" t="s">
        <v>992</v>
      </c>
      <c r="T248" s="1102">
        <v>505</v>
      </c>
      <c r="U248" s="1102">
        <v>684</v>
      </c>
      <c r="V248" s="1102">
        <v>0.34542</v>
      </c>
      <c r="W248" s="1102">
        <v>19</v>
      </c>
      <c r="X248" s="1102">
        <v>0.79166666666666663</v>
      </c>
      <c r="Y248" s="1102" t="s">
        <v>75</v>
      </c>
      <c r="Z248" s="1102" t="s">
        <v>75</v>
      </c>
      <c r="AB248" s="1103">
        <v>46081</v>
      </c>
      <c r="AC248" s="1102">
        <v>9</v>
      </c>
      <c r="AD248" s="1102" t="s">
        <v>1260</v>
      </c>
      <c r="AF248" s="1102" t="s">
        <v>77</v>
      </c>
      <c r="AG248" s="1102" t="s">
        <v>61</v>
      </c>
      <c r="AH248" s="1102" t="s">
        <v>541</v>
      </c>
      <c r="AI248" s="1103">
        <v>46088</v>
      </c>
      <c r="AJ248" s="1103">
        <v>46091</v>
      </c>
      <c r="AK248" s="1103">
        <v>46090</v>
      </c>
      <c r="AL248" s="1103">
        <v>46154</v>
      </c>
      <c r="AM248" s="1103">
        <v>46168</v>
      </c>
      <c r="AN248" s="1103">
        <v>46164</v>
      </c>
      <c r="AO248" s="1102" t="s">
        <v>402</v>
      </c>
      <c r="AP248" s="1102" t="s">
        <v>1237</v>
      </c>
      <c r="AQ248" s="1102" t="s">
        <v>161</v>
      </c>
      <c r="AR248" s="1102" t="s">
        <v>1238</v>
      </c>
      <c r="AS248" s="1102" t="s">
        <v>1239</v>
      </c>
      <c r="AT248" s="1102" t="s">
        <v>1239</v>
      </c>
      <c r="AU248" s="1102">
        <v>74</v>
      </c>
      <c r="AW248" s="1103">
        <v>46164</v>
      </c>
      <c r="AX248" s="1102" t="s">
        <v>973</v>
      </c>
      <c r="AY248" s="1103">
        <v>46167</v>
      </c>
      <c r="AZ248" s="1102">
        <v>0</v>
      </c>
      <c r="BA248" s="1103">
        <v>46164</v>
      </c>
      <c r="BB248" s="1102">
        <v>2026</v>
      </c>
      <c r="BC248" s="1102">
        <v>5</v>
      </c>
      <c r="BD248" s="1102">
        <v>21</v>
      </c>
      <c r="BE248" s="1102">
        <v>36</v>
      </c>
      <c r="BF248" s="1102">
        <v>864</v>
      </c>
      <c r="BG248" s="1102" t="s">
        <v>85</v>
      </c>
      <c r="BH248" s="1102" t="s">
        <v>109</v>
      </c>
    </row>
    <row r="249" spans="1:60">
      <c r="A249" s="1102" t="s">
        <v>1261</v>
      </c>
      <c r="B249" s="1102" t="s">
        <v>61</v>
      </c>
      <c r="C249" s="1102" t="s">
        <v>1016</v>
      </c>
      <c r="D249" s="1102" t="s">
        <v>63</v>
      </c>
      <c r="E249" s="1102" t="s">
        <v>144</v>
      </c>
      <c r="F249" s="1102" t="s">
        <v>145</v>
      </c>
      <c r="G249" s="1102" t="s">
        <v>402</v>
      </c>
      <c r="H249" s="1102" t="s">
        <v>1262</v>
      </c>
      <c r="I249" s="1102" t="s">
        <v>689</v>
      </c>
      <c r="J249" s="1102" t="s">
        <v>1263</v>
      </c>
      <c r="K249" s="1102" t="s">
        <v>1264</v>
      </c>
      <c r="M249" s="1102" t="s">
        <v>840</v>
      </c>
      <c r="N249" s="1102">
        <v>46076</v>
      </c>
      <c r="O249" s="1102" t="s">
        <v>70</v>
      </c>
      <c r="P249" s="1102" t="s">
        <v>195</v>
      </c>
      <c r="Q249" s="1102" t="s">
        <v>196</v>
      </c>
      <c r="R249" s="1102" t="s">
        <v>73</v>
      </c>
      <c r="S249" s="1102" t="s">
        <v>967</v>
      </c>
      <c r="T249" s="1102">
        <v>450</v>
      </c>
      <c r="U249" s="1102">
        <v>936</v>
      </c>
      <c r="V249" s="1102">
        <v>0.42120000000000002</v>
      </c>
      <c r="W249" s="1102">
        <v>26</v>
      </c>
      <c r="X249" s="1102">
        <v>1</v>
      </c>
      <c r="Y249" s="1102" t="s">
        <v>75</v>
      </c>
      <c r="Z249" s="1102" t="s">
        <v>75</v>
      </c>
      <c r="AB249" s="1103">
        <v>46084</v>
      </c>
      <c r="AC249" s="1102">
        <v>10</v>
      </c>
      <c r="AD249" s="1102" t="s">
        <v>1265</v>
      </c>
      <c r="AF249" s="1102" t="s">
        <v>77</v>
      </c>
      <c r="AG249" s="1102" t="s">
        <v>61</v>
      </c>
      <c r="AH249" s="1102" t="s">
        <v>105</v>
      </c>
      <c r="AI249" s="1103">
        <v>46088</v>
      </c>
      <c r="AJ249" s="1103">
        <v>46088</v>
      </c>
      <c r="AK249" s="1103">
        <v>46088</v>
      </c>
      <c r="AL249" s="1103">
        <v>46133</v>
      </c>
      <c r="AM249" s="1103">
        <v>46142</v>
      </c>
      <c r="AN249" s="1103">
        <v>46141</v>
      </c>
      <c r="AO249" s="1102" t="s">
        <v>402</v>
      </c>
      <c r="AP249" s="1102" t="s">
        <v>889</v>
      </c>
      <c r="AQ249" s="1102" t="s">
        <v>80</v>
      </c>
      <c r="AR249" s="1102" t="s">
        <v>1266</v>
      </c>
      <c r="AS249" s="1102" t="s">
        <v>1267</v>
      </c>
      <c r="AT249" s="1102" t="s">
        <v>1267</v>
      </c>
      <c r="AU249" s="1102">
        <v>53</v>
      </c>
      <c r="AW249" s="1103">
        <v>46141</v>
      </c>
      <c r="AX249" s="1102" t="s">
        <v>973</v>
      </c>
      <c r="AY249" s="1103">
        <v>46145</v>
      </c>
      <c r="AZ249" s="1102">
        <v>0</v>
      </c>
      <c r="BA249" s="1103">
        <v>46141</v>
      </c>
      <c r="BB249" s="1102">
        <v>2026</v>
      </c>
      <c r="BC249" s="1102">
        <v>4</v>
      </c>
      <c r="BD249" s="1102">
        <v>18</v>
      </c>
      <c r="BE249" s="1102">
        <v>36</v>
      </c>
      <c r="BF249" s="1102">
        <v>936</v>
      </c>
      <c r="BG249" s="1102" t="s">
        <v>85</v>
      </c>
      <c r="BH249" s="1102" t="s">
        <v>109</v>
      </c>
    </row>
    <row r="250" spans="1:60">
      <c r="A250" s="1102" t="s">
        <v>1268</v>
      </c>
      <c r="B250" s="1102" t="s">
        <v>61</v>
      </c>
      <c r="C250" s="1102" t="s">
        <v>1016</v>
      </c>
      <c r="D250" s="1102" t="s">
        <v>63</v>
      </c>
      <c r="E250" s="1102" t="s">
        <v>144</v>
      </c>
      <c r="F250" s="1102" t="s">
        <v>145</v>
      </c>
      <c r="G250" s="1102" t="s">
        <v>402</v>
      </c>
      <c r="H250" s="1102" t="s">
        <v>1269</v>
      </c>
      <c r="I250" s="1102" t="s">
        <v>689</v>
      </c>
      <c r="J250" s="1102" t="s">
        <v>1270</v>
      </c>
      <c r="K250" s="1102" t="s">
        <v>1271</v>
      </c>
      <c r="M250" s="1102" t="s">
        <v>840</v>
      </c>
      <c r="N250" s="1102">
        <v>46076</v>
      </c>
      <c r="O250" s="1102" t="s">
        <v>70</v>
      </c>
      <c r="P250" s="1102" t="s">
        <v>195</v>
      </c>
      <c r="Q250" s="1102" t="s">
        <v>196</v>
      </c>
      <c r="R250" s="1102" t="s">
        <v>73</v>
      </c>
      <c r="S250" s="1102" t="s">
        <v>967</v>
      </c>
      <c r="T250" s="1102">
        <v>450</v>
      </c>
      <c r="U250" s="1102">
        <v>1872</v>
      </c>
      <c r="V250" s="1102">
        <v>0.84240000000000004</v>
      </c>
      <c r="W250" s="1102">
        <v>52</v>
      </c>
      <c r="X250" s="1102">
        <v>2</v>
      </c>
      <c r="Y250" s="1102" t="s">
        <v>75</v>
      </c>
      <c r="Z250" s="1102" t="s">
        <v>75</v>
      </c>
      <c r="AB250" s="1103">
        <v>46084</v>
      </c>
      <c r="AC250" s="1102">
        <v>10</v>
      </c>
      <c r="AD250" s="1102" t="s">
        <v>1272</v>
      </c>
      <c r="AF250" s="1102" t="s">
        <v>77</v>
      </c>
      <c r="AG250" s="1102" t="s">
        <v>61</v>
      </c>
      <c r="AH250" s="1102" t="s">
        <v>105</v>
      </c>
      <c r="AI250" s="1103">
        <v>46088</v>
      </c>
      <c r="AJ250" s="1103">
        <v>46088</v>
      </c>
      <c r="AK250" s="1103">
        <v>46088</v>
      </c>
      <c r="AL250" s="1103">
        <v>46133</v>
      </c>
      <c r="AM250" s="1103">
        <v>46142</v>
      </c>
      <c r="AN250" s="1103">
        <v>46141</v>
      </c>
      <c r="AO250" s="1102" t="s">
        <v>402</v>
      </c>
      <c r="AP250" s="1102" t="s">
        <v>889</v>
      </c>
      <c r="AQ250" s="1102" t="s">
        <v>80</v>
      </c>
      <c r="AR250" s="1102" t="s">
        <v>1266</v>
      </c>
      <c r="AS250" s="1102" t="s">
        <v>1273</v>
      </c>
      <c r="AT250" s="1102" t="s">
        <v>1267</v>
      </c>
      <c r="AU250" s="1102">
        <v>53</v>
      </c>
      <c r="AW250" s="1103">
        <v>46141</v>
      </c>
      <c r="AX250" s="1102" t="s">
        <v>973</v>
      </c>
      <c r="AY250" s="1103">
        <v>46145</v>
      </c>
      <c r="AZ250" s="1102">
        <v>0</v>
      </c>
      <c r="BA250" s="1103">
        <v>46141</v>
      </c>
      <c r="BB250" s="1102">
        <v>2026</v>
      </c>
      <c r="BC250" s="1102">
        <v>4</v>
      </c>
      <c r="BD250" s="1102">
        <v>18</v>
      </c>
      <c r="BE250" s="1102">
        <v>36</v>
      </c>
      <c r="BF250" s="1102">
        <v>936</v>
      </c>
      <c r="BG250" s="1102" t="s">
        <v>85</v>
      </c>
      <c r="BH250" s="1102" t="s">
        <v>109</v>
      </c>
    </row>
    <row r="251" spans="1:60">
      <c r="A251" s="1102" t="s">
        <v>1274</v>
      </c>
      <c r="B251" s="1102" t="s">
        <v>61</v>
      </c>
      <c r="C251" s="1102" t="s">
        <v>1016</v>
      </c>
      <c r="D251" s="1102" t="s">
        <v>63</v>
      </c>
      <c r="E251" s="1102" t="s">
        <v>144</v>
      </c>
      <c r="F251" s="1102" t="s">
        <v>145</v>
      </c>
      <c r="G251" s="1102" t="s">
        <v>402</v>
      </c>
      <c r="H251" s="1102" t="s">
        <v>1275</v>
      </c>
      <c r="I251" s="1102" t="s">
        <v>689</v>
      </c>
      <c r="J251" s="1102" t="s">
        <v>1270</v>
      </c>
      <c r="K251" s="1102" t="s">
        <v>1276</v>
      </c>
      <c r="M251" s="1102" t="s">
        <v>840</v>
      </c>
      <c r="N251" s="1102">
        <v>46076</v>
      </c>
      <c r="O251" s="1102" t="s">
        <v>70</v>
      </c>
      <c r="P251" s="1102" t="s">
        <v>195</v>
      </c>
      <c r="Q251" s="1102" t="s">
        <v>196</v>
      </c>
      <c r="R251" s="1102" t="s">
        <v>73</v>
      </c>
      <c r="S251" s="1102" t="s">
        <v>967</v>
      </c>
      <c r="T251" s="1102">
        <v>450</v>
      </c>
      <c r="U251" s="1102">
        <v>936</v>
      </c>
      <c r="V251" s="1102">
        <v>0.42120000000000002</v>
      </c>
      <c r="W251" s="1102">
        <v>26</v>
      </c>
      <c r="X251" s="1102">
        <v>1</v>
      </c>
      <c r="Y251" s="1102" t="s">
        <v>75</v>
      </c>
      <c r="Z251" s="1102" t="s">
        <v>75</v>
      </c>
      <c r="AB251" s="1103">
        <v>46084</v>
      </c>
      <c r="AC251" s="1102">
        <v>10</v>
      </c>
      <c r="AD251" s="1102" t="s">
        <v>1277</v>
      </c>
      <c r="AF251" s="1102" t="s">
        <v>77</v>
      </c>
      <c r="AG251" s="1102" t="s">
        <v>61</v>
      </c>
      <c r="AH251" s="1102" t="s">
        <v>105</v>
      </c>
      <c r="AI251" s="1103">
        <v>46088</v>
      </c>
      <c r="AJ251" s="1103">
        <v>46088</v>
      </c>
      <c r="AK251" s="1103">
        <v>46088</v>
      </c>
      <c r="AL251" s="1103">
        <v>46133</v>
      </c>
      <c r="AM251" s="1103">
        <v>46142</v>
      </c>
      <c r="AN251" s="1103">
        <v>46141</v>
      </c>
      <c r="AO251" s="1102" t="s">
        <v>402</v>
      </c>
      <c r="AP251" s="1102" t="s">
        <v>889</v>
      </c>
      <c r="AQ251" s="1102" t="s">
        <v>80</v>
      </c>
      <c r="AR251" s="1102" t="s">
        <v>1266</v>
      </c>
      <c r="AS251" s="1102" t="s">
        <v>1278</v>
      </c>
      <c r="AT251" s="1102" t="s">
        <v>1267</v>
      </c>
      <c r="AU251" s="1102">
        <v>53</v>
      </c>
      <c r="AW251" s="1103">
        <v>46141</v>
      </c>
      <c r="AX251" s="1102" t="s">
        <v>973</v>
      </c>
      <c r="AY251" s="1103">
        <v>46145</v>
      </c>
      <c r="AZ251" s="1102">
        <v>0</v>
      </c>
      <c r="BA251" s="1103">
        <v>46141</v>
      </c>
      <c r="BB251" s="1102">
        <v>2026</v>
      </c>
      <c r="BC251" s="1102">
        <v>4</v>
      </c>
      <c r="BD251" s="1102">
        <v>18</v>
      </c>
      <c r="BE251" s="1102">
        <v>36</v>
      </c>
      <c r="BF251" s="1102">
        <v>936</v>
      </c>
      <c r="BG251" s="1102" t="s">
        <v>85</v>
      </c>
      <c r="BH251" s="1102" t="s">
        <v>109</v>
      </c>
    </row>
    <row r="252" spans="1:60">
      <c r="A252" s="1102" t="s">
        <v>1279</v>
      </c>
      <c r="B252" s="1102" t="s">
        <v>61</v>
      </c>
      <c r="C252" s="1102" t="s">
        <v>1016</v>
      </c>
      <c r="D252" s="1102" t="s">
        <v>63</v>
      </c>
      <c r="E252" s="1102" t="s">
        <v>144</v>
      </c>
      <c r="F252" s="1102" t="s">
        <v>145</v>
      </c>
      <c r="G252" s="1102" t="s">
        <v>402</v>
      </c>
      <c r="H252" s="1102" t="s">
        <v>1280</v>
      </c>
      <c r="I252" s="1102" t="s">
        <v>689</v>
      </c>
      <c r="J252" s="1102" t="s">
        <v>1270</v>
      </c>
      <c r="K252" s="1102" t="s">
        <v>1281</v>
      </c>
      <c r="M252" s="1102" t="s">
        <v>840</v>
      </c>
      <c r="N252" s="1102">
        <v>46076</v>
      </c>
      <c r="O252" s="1102" t="s">
        <v>70</v>
      </c>
      <c r="P252" s="1102" t="s">
        <v>195</v>
      </c>
      <c r="Q252" s="1102" t="s">
        <v>196</v>
      </c>
      <c r="R252" s="1102" t="s">
        <v>73</v>
      </c>
      <c r="S252" s="1102" t="s">
        <v>967</v>
      </c>
      <c r="T252" s="1102">
        <v>450</v>
      </c>
      <c r="U252" s="1102">
        <v>1872</v>
      </c>
      <c r="V252" s="1102">
        <v>0.84240000000000004</v>
      </c>
      <c r="W252" s="1102">
        <v>52</v>
      </c>
      <c r="X252" s="1102">
        <v>2</v>
      </c>
      <c r="Y252" s="1102" t="s">
        <v>75</v>
      </c>
      <c r="Z252" s="1102" t="s">
        <v>75</v>
      </c>
      <c r="AB252" s="1103">
        <v>46084</v>
      </c>
      <c r="AC252" s="1102">
        <v>10</v>
      </c>
      <c r="AD252" s="1102" t="s">
        <v>1282</v>
      </c>
      <c r="AF252" s="1102" t="s">
        <v>77</v>
      </c>
      <c r="AG252" s="1102" t="s">
        <v>61</v>
      </c>
      <c r="AH252" s="1102" t="s">
        <v>105</v>
      </c>
      <c r="AI252" s="1103">
        <v>46088</v>
      </c>
      <c r="AJ252" s="1103">
        <v>46088</v>
      </c>
      <c r="AK252" s="1103">
        <v>46088</v>
      </c>
      <c r="AL252" s="1103">
        <v>46133</v>
      </c>
      <c r="AM252" s="1103">
        <v>46142</v>
      </c>
      <c r="AN252" s="1103">
        <v>46141</v>
      </c>
      <c r="AO252" s="1102" t="s">
        <v>402</v>
      </c>
      <c r="AP252" s="1102" t="s">
        <v>889</v>
      </c>
      <c r="AQ252" s="1102" t="s">
        <v>80</v>
      </c>
      <c r="AR252" s="1102" t="s">
        <v>1266</v>
      </c>
      <c r="AS252" s="1102" t="s">
        <v>1283</v>
      </c>
      <c r="AT252" s="1102" t="s">
        <v>1267</v>
      </c>
      <c r="AU252" s="1102">
        <v>53</v>
      </c>
      <c r="AW252" s="1103">
        <v>46141</v>
      </c>
      <c r="AX252" s="1102" t="s">
        <v>973</v>
      </c>
      <c r="AY252" s="1103">
        <v>46145</v>
      </c>
      <c r="AZ252" s="1102">
        <v>0</v>
      </c>
      <c r="BA252" s="1103">
        <v>46141</v>
      </c>
      <c r="BB252" s="1102">
        <v>2026</v>
      </c>
      <c r="BC252" s="1102">
        <v>4</v>
      </c>
      <c r="BD252" s="1102">
        <v>18</v>
      </c>
      <c r="BE252" s="1102">
        <v>36</v>
      </c>
      <c r="BF252" s="1102">
        <v>936</v>
      </c>
      <c r="BG252" s="1102" t="s">
        <v>85</v>
      </c>
      <c r="BH252" s="1102" t="s">
        <v>109</v>
      </c>
    </row>
    <row r="253" spans="1:60">
      <c r="A253" s="1102" t="s">
        <v>1284</v>
      </c>
      <c r="B253" s="1102" t="s">
        <v>61</v>
      </c>
      <c r="C253" s="1102" t="s">
        <v>1016</v>
      </c>
      <c r="D253" s="1102" t="s">
        <v>63</v>
      </c>
      <c r="E253" s="1102" t="s">
        <v>144</v>
      </c>
      <c r="F253" s="1102" t="s">
        <v>145</v>
      </c>
      <c r="G253" s="1102" t="s">
        <v>402</v>
      </c>
      <c r="H253" s="1102" t="s">
        <v>1275</v>
      </c>
      <c r="I253" s="1102" t="s">
        <v>689</v>
      </c>
      <c r="J253" s="1102" t="s">
        <v>1270</v>
      </c>
      <c r="K253" s="1102" t="s">
        <v>1276</v>
      </c>
      <c r="M253" s="1102" t="s">
        <v>840</v>
      </c>
      <c r="N253" s="1102">
        <v>46076</v>
      </c>
      <c r="O253" s="1102" t="s">
        <v>70</v>
      </c>
      <c r="P253" s="1102" t="s">
        <v>195</v>
      </c>
      <c r="Q253" s="1102" t="s">
        <v>196</v>
      </c>
      <c r="R253" s="1102" t="s">
        <v>73</v>
      </c>
      <c r="S253" s="1102" t="s">
        <v>967</v>
      </c>
      <c r="T253" s="1102">
        <v>450</v>
      </c>
      <c r="U253" s="1102">
        <v>3744</v>
      </c>
      <c r="V253" s="1102">
        <v>1.6848000000000001</v>
      </c>
      <c r="W253" s="1102">
        <v>104</v>
      </c>
      <c r="X253" s="1102">
        <v>4</v>
      </c>
      <c r="Y253" s="1102" t="s">
        <v>75</v>
      </c>
      <c r="Z253" s="1102" t="s">
        <v>75</v>
      </c>
      <c r="AB253" s="1103">
        <v>46084</v>
      </c>
      <c r="AC253" s="1102">
        <v>10</v>
      </c>
      <c r="AD253" s="1102" t="s">
        <v>1277</v>
      </c>
      <c r="AF253" s="1102" t="s">
        <v>77</v>
      </c>
      <c r="AG253" s="1102" t="s">
        <v>61</v>
      </c>
      <c r="AH253" s="1102" t="s">
        <v>105</v>
      </c>
      <c r="AI253" s="1103">
        <v>46088</v>
      </c>
      <c r="AJ253" s="1103">
        <v>46088</v>
      </c>
      <c r="AK253" s="1103">
        <v>46088</v>
      </c>
      <c r="AL253" s="1103">
        <v>46133</v>
      </c>
      <c r="AM253" s="1103">
        <v>46142</v>
      </c>
      <c r="AN253" s="1103">
        <v>46141</v>
      </c>
      <c r="AO253" s="1102" t="s">
        <v>402</v>
      </c>
      <c r="AP253" s="1102" t="s">
        <v>889</v>
      </c>
      <c r="AQ253" s="1102" t="s">
        <v>80</v>
      </c>
      <c r="AR253" s="1102" t="s">
        <v>1266</v>
      </c>
      <c r="AS253" s="1102" t="s">
        <v>1278</v>
      </c>
      <c r="AT253" s="1102" t="s">
        <v>1278</v>
      </c>
      <c r="AU253" s="1102">
        <v>53</v>
      </c>
      <c r="AW253" s="1103">
        <v>46141</v>
      </c>
      <c r="AX253" s="1102" t="s">
        <v>973</v>
      </c>
      <c r="AY253" s="1103">
        <v>46145</v>
      </c>
      <c r="AZ253" s="1102">
        <v>0</v>
      </c>
      <c r="BA253" s="1103">
        <v>46141</v>
      </c>
      <c r="BB253" s="1102">
        <v>2026</v>
      </c>
      <c r="BC253" s="1102">
        <v>4</v>
      </c>
      <c r="BD253" s="1102">
        <v>18</v>
      </c>
      <c r="BE253" s="1102">
        <v>36</v>
      </c>
      <c r="BF253" s="1102">
        <v>936</v>
      </c>
      <c r="BG253" s="1102" t="s">
        <v>85</v>
      </c>
      <c r="BH253" s="1102" t="s">
        <v>109</v>
      </c>
    </row>
    <row r="254" spans="1:60">
      <c r="A254" s="1102" t="s">
        <v>1285</v>
      </c>
      <c r="B254" s="1102" t="s">
        <v>61</v>
      </c>
      <c r="C254" s="1102" t="s">
        <v>1286</v>
      </c>
      <c r="D254" s="1102" t="s">
        <v>63</v>
      </c>
      <c r="E254" s="1102" t="s">
        <v>64</v>
      </c>
      <c r="F254" s="1102" t="s">
        <v>450</v>
      </c>
      <c r="G254" s="1102" t="s">
        <v>402</v>
      </c>
      <c r="H254" s="1102" t="s">
        <v>451</v>
      </c>
      <c r="I254" s="1102" t="s">
        <v>689</v>
      </c>
      <c r="J254" s="1102" t="s">
        <v>1287</v>
      </c>
      <c r="M254" s="1102" t="s">
        <v>68</v>
      </c>
      <c r="N254" s="1102">
        <v>46048</v>
      </c>
      <c r="O254" s="1102" t="s">
        <v>70</v>
      </c>
      <c r="P254" s="1102" t="s">
        <v>1151</v>
      </c>
      <c r="Q254" s="1102" t="s">
        <v>421</v>
      </c>
      <c r="R254" s="1102" t="s">
        <v>73</v>
      </c>
      <c r="S254" s="1102" t="s">
        <v>967</v>
      </c>
      <c r="T254" s="1102">
        <v>505</v>
      </c>
      <c r="U254" s="1102">
        <v>864</v>
      </c>
      <c r="V254" s="1102">
        <v>0.43631999999999999</v>
      </c>
      <c r="W254" s="1102">
        <v>24</v>
      </c>
      <c r="X254" s="1102">
        <v>1</v>
      </c>
      <c r="Y254" s="1102" t="s">
        <v>75</v>
      </c>
      <c r="Z254" s="1102" t="s">
        <v>75</v>
      </c>
      <c r="AB254" s="1103">
        <v>46082</v>
      </c>
      <c r="AC254" s="1102">
        <v>9</v>
      </c>
      <c r="AD254" s="1102" t="s">
        <v>1288</v>
      </c>
      <c r="AF254" s="1102" t="s">
        <v>77</v>
      </c>
      <c r="AG254" s="1102" t="s">
        <v>61</v>
      </c>
      <c r="AH254" s="1102" t="s">
        <v>456</v>
      </c>
      <c r="AI254" s="1103">
        <v>46088</v>
      </c>
      <c r="AJ254" s="1103">
        <v>46088</v>
      </c>
      <c r="AK254" s="1103">
        <v>46088</v>
      </c>
      <c r="AL254" s="1103">
        <v>46138</v>
      </c>
      <c r="AM254" s="1103">
        <v>46160</v>
      </c>
      <c r="AN254" s="1103">
        <v>46160</v>
      </c>
      <c r="AO254" s="1102" t="s">
        <v>402</v>
      </c>
      <c r="AP254" s="1102" t="s">
        <v>889</v>
      </c>
      <c r="AQ254" s="1102" t="s">
        <v>80</v>
      </c>
      <c r="AR254" s="1102" t="s">
        <v>1289</v>
      </c>
      <c r="AS254" s="1102" t="s">
        <v>1290</v>
      </c>
      <c r="AT254" s="1102" t="s">
        <v>1290</v>
      </c>
      <c r="AU254" s="1102">
        <v>72</v>
      </c>
      <c r="AW254" s="1103">
        <v>46160</v>
      </c>
      <c r="AX254" s="1102" t="s">
        <v>973</v>
      </c>
      <c r="AY254" s="1103">
        <v>46173</v>
      </c>
      <c r="AZ254" s="1102">
        <v>7</v>
      </c>
      <c r="BA254" s="1103">
        <v>46167</v>
      </c>
      <c r="BB254" s="1102">
        <v>2026</v>
      </c>
      <c r="BC254" s="1102">
        <v>5</v>
      </c>
      <c r="BD254" s="1102">
        <v>22</v>
      </c>
      <c r="BE254" s="1102">
        <v>36</v>
      </c>
      <c r="BF254" s="1102">
        <v>864</v>
      </c>
      <c r="BG254" s="1102" t="s">
        <v>85</v>
      </c>
      <c r="BH254" s="1102" t="s">
        <v>109</v>
      </c>
    </row>
    <row r="255" spans="1:60">
      <c r="A255" s="1102" t="s">
        <v>1291</v>
      </c>
      <c r="B255" s="1102" t="s">
        <v>61</v>
      </c>
      <c r="C255" s="1102" t="s">
        <v>1286</v>
      </c>
      <c r="D255" s="1102" t="s">
        <v>63</v>
      </c>
      <c r="E255" s="1102" t="s">
        <v>64</v>
      </c>
      <c r="F255" s="1102" t="s">
        <v>450</v>
      </c>
      <c r="G255" s="1102" t="s">
        <v>402</v>
      </c>
      <c r="H255" s="1102" t="s">
        <v>451</v>
      </c>
      <c r="I255" s="1102" t="s">
        <v>689</v>
      </c>
      <c r="J255" s="1102" t="s">
        <v>1292</v>
      </c>
      <c r="M255" s="1102" t="s">
        <v>68</v>
      </c>
      <c r="N255" s="1102">
        <v>46048</v>
      </c>
      <c r="O255" s="1102" t="s">
        <v>70</v>
      </c>
      <c r="P255" s="1102" t="s">
        <v>1151</v>
      </c>
      <c r="Q255" s="1102" t="s">
        <v>421</v>
      </c>
      <c r="R255" s="1102" t="s">
        <v>73</v>
      </c>
      <c r="S255" s="1102" t="s">
        <v>967</v>
      </c>
      <c r="T255" s="1102">
        <v>505</v>
      </c>
      <c r="U255" s="1102">
        <v>1728</v>
      </c>
      <c r="V255" s="1102">
        <v>0.87263999999999997</v>
      </c>
      <c r="W255" s="1102">
        <v>48</v>
      </c>
      <c r="X255" s="1102">
        <v>2</v>
      </c>
      <c r="Y255" s="1102" t="s">
        <v>75</v>
      </c>
      <c r="Z255" s="1102" t="s">
        <v>75</v>
      </c>
      <c r="AB255" s="1103">
        <v>46082</v>
      </c>
      <c r="AC255" s="1102">
        <v>9</v>
      </c>
      <c r="AD255" s="1102" t="s">
        <v>1293</v>
      </c>
      <c r="AF255" s="1102" t="s">
        <v>77</v>
      </c>
      <c r="AG255" s="1102" t="s">
        <v>61</v>
      </c>
      <c r="AH255" s="1102" t="s">
        <v>456</v>
      </c>
      <c r="AI255" s="1103">
        <v>46088</v>
      </c>
      <c r="AJ255" s="1103">
        <v>46088</v>
      </c>
      <c r="AK255" s="1103">
        <v>46088</v>
      </c>
      <c r="AL255" s="1103">
        <v>46138</v>
      </c>
      <c r="AM255" s="1103">
        <v>46160</v>
      </c>
      <c r="AN255" s="1103">
        <v>46160</v>
      </c>
      <c r="AO255" s="1102" t="s">
        <v>402</v>
      </c>
      <c r="AP255" s="1102" t="s">
        <v>889</v>
      </c>
      <c r="AQ255" s="1102" t="s">
        <v>80</v>
      </c>
      <c r="AR255" s="1102" t="s">
        <v>1289</v>
      </c>
      <c r="AS255" s="1102" t="s">
        <v>1290</v>
      </c>
      <c r="AT255" s="1102" t="s">
        <v>1290</v>
      </c>
      <c r="AU255" s="1102">
        <v>72</v>
      </c>
      <c r="AW255" s="1103">
        <v>46160</v>
      </c>
      <c r="AX255" s="1102" t="s">
        <v>973</v>
      </c>
      <c r="AY255" s="1103">
        <v>46173</v>
      </c>
      <c r="AZ255" s="1102">
        <v>7</v>
      </c>
      <c r="BA255" s="1103">
        <v>46167</v>
      </c>
      <c r="BB255" s="1102">
        <v>2026</v>
      </c>
      <c r="BC255" s="1102">
        <v>5</v>
      </c>
      <c r="BD255" s="1102">
        <v>22</v>
      </c>
      <c r="BE255" s="1102">
        <v>36</v>
      </c>
      <c r="BF255" s="1102">
        <v>864</v>
      </c>
      <c r="BG255" s="1102" t="s">
        <v>85</v>
      </c>
      <c r="BH255" s="1102" t="s">
        <v>109</v>
      </c>
    </row>
    <row r="256" spans="1:60">
      <c r="A256" s="1102" t="s">
        <v>1294</v>
      </c>
      <c r="B256" s="1102" t="s">
        <v>61</v>
      </c>
      <c r="C256" s="1102" t="s">
        <v>1149</v>
      </c>
      <c r="D256" s="1102" t="s">
        <v>63</v>
      </c>
      <c r="E256" s="1102" t="s">
        <v>64</v>
      </c>
      <c r="F256" s="1102" t="s">
        <v>450</v>
      </c>
      <c r="G256" s="1102" t="s">
        <v>402</v>
      </c>
      <c r="H256" s="1102" t="s">
        <v>451</v>
      </c>
      <c r="I256" s="1102" t="s">
        <v>689</v>
      </c>
      <c r="J256" s="1102" t="s">
        <v>1287</v>
      </c>
      <c r="M256" s="1102" t="s">
        <v>68</v>
      </c>
      <c r="N256" s="1102">
        <v>46048</v>
      </c>
      <c r="O256" s="1102" t="s">
        <v>70</v>
      </c>
      <c r="P256" s="1102" t="s">
        <v>1151</v>
      </c>
      <c r="Q256" s="1102" t="s">
        <v>421</v>
      </c>
      <c r="R256" s="1102" t="s">
        <v>73</v>
      </c>
      <c r="S256" s="1102" t="s">
        <v>967</v>
      </c>
      <c r="T256" s="1102">
        <v>505</v>
      </c>
      <c r="U256" s="1102">
        <v>1728</v>
      </c>
      <c r="V256" s="1102">
        <v>0.87263999999999997</v>
      </c>
      <c r="W256" s="1102">
        <v>48</v>
      </c>
      <c r="X256" s="1102">
        <v>2</v>
      </c>
      <c r="Y256" s="1102" t="s">
        <v>75</v>
      </c>
      <c r="Z256" s="1102" t="s">
        <v>75</v>
      </c>
      <c r="AB256" s="1103">
        <v>46082</v>
      </c>
      <c r="AC256" s="1102">
        <v>9</v>
      </c>
      <c r="AD256" s="1102" t="s">
        <v>1295</v>
      </c>
      <c r="AF256" s="1102" t="s">
        <v>77</v>
      </c>
      <c r="AG256" s="1102" t="s">
        <v>61</v>
      </c>
      <c r="AH256" s="1102" t="s">
        <v>456</v>
      </c>
      <c r="AI256" s="1103">
        <v>46088</v>
      </c>
      <c r="AJ256" s="1103">
        <v>46088</v>
      </c>
      <c r="AK256" s="1103">
        <v>46088</v>
      </c>
      <c r="AL256" s="1103">
        <v>46138</v>
      </c>
      <c r="AM256" s="1103">
        <v>46160</v>
      </c>
      <c r="AN256" s="1103">
        <v>46160</v>
      </c>
      <c r="AO256" s="1102" t="s">
        <v>402</v>
      </c>
      <c r="AP256" s="1102" t="s">
        <v>1296</v>
      </c>
      <c r="AQ256" s="1102" t="s">
        <v>80</v>
      </c>
      <c r="AR256" s="1102" t="s">
        <v>1289</v>
      </c>
      <c r="AS256" s="1102" t="s">
        <v>1290</v>
      </c>
      <c r="AT256" s="1102" t="s">
        <v>1290</v>
      </c>
      <c r="AU256" s="1102">
        <v>72</v>
      </c>
      <c r="AW256" s="1103">
        <v>46160</v>
      </c>
      <c r="AX256" s="1102" t="s">
        <v>973</v>
      </c>
      <c r="AY256" s="1103">
        <v>46173</v>
      </c>
      <c r="AZ256" s="1102">
        <v>7</v>
      </c>
      <c r="BA256" s="1103">
        <v>46167</v>
      </c>
      <c r="BB256" s="1102">
        <v>2026</v>
      </c>
      <c r="BC256" s="1102">
        <v>5</v>
      </c>
      <c r="BD256" s="1102">
        <v>22</v>
      </c>
      <c r="BE256" s="1102">
        <v>36</v>
      </c>
      <c r="BF256" s="1102">
        <v>864</v>
      </c>
      <c r="BG256" s="1102" t="s">
        <v>85</v>
      </c>
      <c r="BH256" s="1102" t="s">
        <v>109</v>
      </c>
    </row>
    <row r="257" spans="1:60">
      <c r="A257" s="1102" t="s">
        <v>1297</v>
      </c>
      <c r="B257" s="1102" t="s">
        <v>111</v>
      </c>
      <c r="C257" s="1102" t="s">
        <v>203</v>
      </c>
      <c r="D257" s="1102" t="s">
        <v>63</v>
      </c>
      <c r="E257" s="1102" t="s">
        <v>144</v>
      </c>
      <c r="F257" s="1102" t="s">
        <v>145</v>
      </c>
      <c r="G257" s="1102" t="s">
        <v>402</v>
      </c>
      <c r="H257" s="1102" t="s">
        <v>1029</v>
      </c>
      <c r="I257" s="1102" t="s">
        <v>689</v>
      </c>
      <c r="J257" s="1102" t="s">
        <v>1030</v>
      </c>
      <c r="K257" s="1102" t="s">
        <v>1298</v>
      </c>
      <c r="M257" s="1102" t="s">
        <v>840</v>
      </c>
      <c r="N257" s="1102">
        <v>46045</v>
      </c>
      <c r="O257" s="1102" t="s">
        <v>713</v>
      </c>
      <c r="P257" s="1102" t="s">
        <v>1299</v>
      </c>
      <c r="Q257" s="1102" t="s">
        <v>1300</v>
      </c>
      <c r="R257" s="1102" t="s">
        <v>73</v>
      </c>
      <c r="S257" s="1102" t="s">
        <v>967</v>
      </c>
      <c r="T257" s="1102">
        <v>720</v>
      </c>
      <c r="U257" s="1102">
        <v>1782</v>
      </c>
      <c r="V257" s="1102">
        <v>1.28304</v>
      </c>
      <c r="W257" s="1102">
        <v>54</v>
      </c>
      <c r="X257" s="1102">
        <v>3</v>
      </c>
      <c r="Y257" s="1102" t="s">
        <v>75</v>
      </c>
      <c r="Z257" s="1102" t="s">
        <v>75</v>
      </c>
      <c r="AB257" s="1103">
        <v>46084</v>
      </c>
      <c r="AC257" s="1102">
        <v>10</v>
      </c>
      <c r="AD257" s="1102" t="s">
        <v>1301</v>
      </c>
      <c r="AF257" s="1102" t="s">
        <v>122</v>
      </c>
      <c r="AG257" s="1102" t="s">
        <v>123</v>
      </c>
      <c r="AH257" s="1102" t="s">
        <v>888</v>
      </c>
      <c r="AI257" s="1103">
        <v>46091</v>
      </c>
      <c r="AJ257" s="1103">
        <v>46090</v>
      </c>
      <c r="AK257" s="1103">
        <v>46090</v>
      </c>
      <c r="AL257" s="1103">
        <v>46141</v>
      </c>
      <c r="AM257" s="1103">
        <v>46140</v>
      </c>
      <c r="AN257" s="1103">
        <v>46140</v>
      </c>
      <c r="AO257" s="1102" t="s">
        <v>402</v>
      </c>
      <c r="AP257" s="1102" t="s">
        <v>1302</v>
      </c>
      <c r="AQ257" s="1102" t="s">
        <v>80</v>
      </c>
      <c r="AR257" s="1102" t="s">
        <v>1303</v>
      </c>
      <c r="AS257" s="1102" t="s">
        <v>1304</v>
      </c>
      <c r="AT257" s="1102" t="s">
        <v>1304</v>
      </c>
      <c r="AU257" s="1102">
        <v>50</v>
      </c>
      <c r="AW257" s="1103">
        <v>46140</v>
      </c>
      <c r="AX257" s="1102" t="s">
        <v>973</v>
      </c>
      <c r="AY257" s="1103">
        <v>46154</v>
      </c>
      <c r="AZ257" s="1102">
        <v>0</v>
      </c>
      <c r="BA257" s="1103">
        <v>46140</v>
      </c>
      <c r="BB257" s="1102">
        <v>2026</v>
      </c>
      <c r="BC257" s="1102">
        <v>4</v>
      </c>
      <c r="BD257" s="1102">
        <v>18</v>
      </c>
      <c r="BE257" s="1102">
        <v>33</v>
      </c>
      <c r="BF257" s="1102">
        <v>594</v>
      </c>
      <c r="BG257" s="1102" t="s">
        <v>108</v>
      </c>
      <c r="BH257" s="1102" t="s">
        <v>109</v>
      </c>
    </row>
    <row r="258" spans="1:60">
      <c r="A258" s="1102" t="s">
        <v>1305</v>
      </c>
      <c r="B258" s="1102" t="s">
        <v>111</v>
      </c>
      <c r="C258" s="1102" t="s">
        <v>1046</v>
      </c>
      <c r="D258" s="1102" t="s">
        <v>63</v>
      </c>
      <c r="E258" s="1102" t="s">
        <v>64</v>
      </c>
      <c r="F258" s="1102" t="s">
        <v>100</v>
      </c>
      <c r="G258" s="1102" t="s">
        <v>402</v>
      </c>
      <c r="H258" s="1102" t="s">
        <v>67</v>
      </c>
      <c r="I258" s="1102" t="s">
        <v>822</v>
      </c>
      <c r="J258" s="1102" t="s">
        <v>1047</v>
      </c>
      <c r="M258" s="1102" t="s">
        <v>68</v>
      </c>
      <c r="N258" s="1102">
        <v>46069</v>
      </c>
      <c r="O258" s="1102" t="s">
        <v>70</v>
      </c>
      <c r="P258" s="1102" t="s">
        <v>1002</v>
      </c>
      <c r="Q258" s="1102" t="s">
        <v>330</v>
      </c>
      <c r="R258" s="1102" t="s">
        <v>73</v>
      </c>
      <c r="S258" s="1102" t="s">
        <v>992</v>
      </c>
      <c r="T258" s="1102">
        <v>625</v>
      </c>
      <c r="U258" s="1102">
        <v>7920</v>
      </c>
      <c r="V258" s="1102">
        <v>4.95</v>
      </c>
      <c r="W258" s="1102">
        <v>220</v>
      </c>
      <c r="X258" s="1102">
        <v>11</v>
      </c>
      <c r="Y258" s="1102" t="s">
        <v>75</v>
      </c>
      <c r="Z258" s="1102" t="s">
        <v>75</v>
      </c>
      <c r="AB258" s="1103">
        <v>46083</v>
      </c>
      <c r="AC258" s="1102">
        <v>10</v>
      </c>
      <c r="AD258" s="1102" t="s">
        <v>1306</v>
      </c>
      <c r="AF258" s="1102" t="s">
        <v>122</v>
      </c>
      <c r="AG258" s="1102" t="s">
        <v>123</v>
      </c>
      <c r="AH258" s="1102" t="s">
        <v>105</v>
      </c>
      <c r="AI258" s="1103">
        <v>46091</v>
      </c>
      <c r="AJ258" s="1103">
        <v>46096</v>
      </c>
      <c r="AK258" s="1103">
        <v>46096</v>
      </c>
      <c r="AL258" s="1103">
        <v>46126</v>
      </c>
      <c r="AM258" s="1103">
        <v>46142</v>
      </c>
      <c r="AN258" s="1103">
        <v>46141</v>
      </c>
      <c r="AO258" s="1102" t="s">
        <v>402</v>
      </c>
      <c r="AP258" s="1102" t="s">
        <v>872</v>
      </c>
      <c r="AQ258" s="1102" t="s">
        <v>80</v>
      </c>
      <c r="AR258" s="1102" t="s">
        <v>1307</v>
      </c>
      <c r="AS258" s="1102" t="s">
        <v>1308</v>
      </c>
      <c r="AT258" s="1102" t="s">
        <v>1308</v>
      </c>
      <c r="AU258" s="1102">
        <v>45</v>
      </c>
      <c r="AW258" s="1103">
        <v>46141</v>
      </c>
      <c r="AX258" s="1102" t="s">
        <v>973</v>
      </c>
      <c r="AY258" s="1103">
        <v>46162</v>
      </c>
      <c r="AZ258" s="1102">
        <v>7</v>
      </c>
      <c r="BA258" s="1103">
        <v>46148</v>
      </c>
      <c r="BB258" s="1102">
        <v>2026</v>
      </c>
      <c r="BC258" s="1102">
        <v>5</v>
      </c>
      <c r="BD258" s="1102">
        <v>19</v>
      </c>
      <c r="BE258" s="1102">
        <v>36</v>
      </c>
      <c r="BF258" s="1102">
        <v>720</v>
      </c>
      <c r="BG258" s="1102" t="s">
        <v>128</v>
      </c>
      <c r="BH258" s="1102" t="s">
        <v>109</v>
      </c>
    </row>
    <row r="259" spans="1:60">
      <c r="A259" s="1102" t="s">
        <v>1309</v>
      </c>
      <c r="B259" s="1102" t="s">
        <v>111</v>
      </c>
      <c r="C259" s="1102" t="s">
        <v>1310</v>
      </c>
      <c r="D259" s="1102" t="s">
        <v>63</v>
      </c>
      <c r="E259" s="1102" t="s">
        <v>64</v>
      </c>
      <c r="F259" s="1102" t="s">
        <v>100</v>
      </c>
      <c r="G259" s="1102" t="s">
        <v>402</v>
      </c>
      <c r="H259" s="1102" t="s">
        <v>67</v>
      </c>
      <c r="I259" s="1102" t="s">
        <v>689</v>
      </c>
      <c r="J259" s="1102" t="s">
        <v>483</v>
      </c>
      <c r="M259" s="1102" t="s">
        <v>68</v>
      </c>
      <c r="N259" s="1102">
        <v>46083</v>
      </c>
      <c r="O259" s="1102" t="s">
        <v>473</v>
      </c>
      <c r="P259" s="1102" t="s">
        <v>529</v>
      </c>
      <c r="Q259" s="1102" t="s">
        <v>1311</v>
      </c>
      <c r="R259" s="1102" t="s">
        <v>73</v>
      </c>
      <c r="S259" s="1102" t="s">
        <v>967</v>
      </c>
      <c r="T259" s="1102">
        <v>455</v>
      </c>
      <c r="U259" s="1102">
        <v>3456</v>
      </c>
      <c r="V259" s="1102">
        <v>1.5724800000000001</v>
      </c>
      <c r="W259" s="1102">
        <v>96</v>
      </c>
      <c r="X259" s="1102">
        <v>4</v>
      </c>
      <c r="Y259" s="1102" t="s">
        <v>75</v>
      </c>
      <c r="Z259" s="1102" t="s">
        <v>75</v>
      </c>
      <c r="AB259" s="1103">
        <v>46085</v>
      </c>
      <c r="AC259" s="1102">
        <v>10</v>
      </c>
      <c r="AD259" s="1102" t="s">
        <v>1312</v>
      </c>
      <c r="AF259" s="1102" t="s">
        <v>122</v>
      </c>
      <c r="AG259" s="1102" t="s">
        <v>123</v>
      </c>
      <c r="AH259" s="1102" t="s">
        <v>105</v>
      </c>
      <c r="AI259" s="1103">
        <v>46091</v>
      </c>
      <c r="AJ259" s="1103">
        <v>46090</v>
      </c>
      <c r="AK259" s="1103">
        <v>46090</v>
      </c>
      <c r="AL259" s="1103">
        <v>46122</v>
      </c>
      <c r="AM259" s="1103">
        <v>46141</v>
      </c>
      <c r="AN259" s="1103">
        <v>46137</v>
      </c>
      <c r="AO259" s="1102" t="s">
        <v>402</v>
      </c>
      <c r="AP259" s="1102" t="s">
        <v>872</v>
      </c>
      <c r="AQ259" s="1102" t="s">
        <v>80</v>
      </c>
      <c r="AR259" s="1102" t="s">
        <v>1313</v>
      </c>
      <c r="AS259" s="1102" t="s">
        <v>1314</v>
      </c>
      <c r="AT259" s="1102" t="s">
        <v>1314</v>
      </c>
      <c r="AU259" s="1102">
        <v>47</v>
      </c>
      <c r="AW259" s="1103">
        <v>46137</v>
      </c>
      <c r="AX259" s="1102" t="s">
        <v>973</v>
      </c>
      <c r="AY259" s="1103">
        <v>46149</v>
      </c>
      <c r="AZ259" s="1102">
        <v>7</v>
      </c>
      <c r="BA259" s="1103">
        <v>46144</v>
      </c>
      <c r="BB259" s="1102">
        <v>2026</v>
      </c>
      <c r="BC259" s="1102">
        <v>5</v>
      </c>
      <c r="BD259" s="1102">
        <v>18</v>
      </c>
      <c r="BE259" s="1102">
        <v>36</v>
      </c>
      <c r="BF259" s="1102">
        <v>864</v>
      </c>
      <c r="BG259" s="1102" t="s">
        <v>85</v>
      </c>
      <c r="BH259" s="1102" t="s">
        <v>109</v>
      </c>
    </row>
    <row r="260" spans="1:60">
      <c r="A260" s="1102" t="s">
        <v>1315</v>
      </c>
      <c r="B260" s="1102" t="s">
        <v>111</v>
      </c>
      <c r="C260" s="1102" t="s">
        <v>1091</v>
      </c>
      <c r="D260" s="1102" t="s">
        <v>63</v>
      </c>
      <c r="E260" s="1102" t="s">
        <v>64</v>
      </c>
      <c r="F260" s="1102" t="s">
        <v>100</v>
      </c>
      <c r="G260" s="1102" t="s">
        <v>402</v>
      </c>
      <c r="H260" s="1102" t="s">
        <v>67</v>
      </c>
      <c r="I260" s="1102" t="s">
        <v>689</v>
      </c>
      <c r="J260" s="1102" t="s">
        <v>101</v>
      </c>
      <c r="M260" s="1102" t="s">
        <v>68</v>
      </c>
      <c r="N260" s="1102">
        <v>46069</v>
      </c>
      <c r="O260" s="1102" t="s">
        <v>132</v>
      </c>
      <c r="P260" s="1102" t="s">
        <v>189</v>
      </c>
      <c r="Q260" s="1102" t="s">
        <v>190</v>
      </c>
      <c r="R260" s="1102" t="s">
        <v>73</v>
      </c>
      <c r="S260" s="1102" t="s">
        <v>967</v>
      </c>
      <c r="T260" s="1102">
        <v>465</v>
      </c>
      <c r="U260" s="1102">
        <v>3456</v>
      </c>
      <c r="V260" s="1102">
        <v>1.60704</v>
      </c>
      <c r="W260" s="1102">
        <v>96</v>
      </c>
      <c r="X260" s="1102">
        <v>4</v>
      </c>
      <c r="Y260" s="1102" t="s">
        <v>75</v>
      </c>
      <c r="Z260" s="1102" t="s">
        <v>75</v>
      </c>
      <c r="AB260" s="1103">
        <v>46085</v>
      </c>
      <c r="AC260" s="1102">
        <v>10</v>
      </c>
      <c r="AD260" s="1102" t="s">
        <v>1316</v>
      </c>
      <c r="AF260" s="1102" t="s">
        <v>122</v>
      </c>
      <c r="AG260" s="1102" t="s">
        <v>123</v>
      </c>
      <c r="AH260" s="1102" t="s">
        <v>105</v>
      </c>
      <c r="AI260" s="1103">
        <v>46091</v>
      </c>
      <c r="AJ260" s="1103">
        <v>46090</v>
      </c>
      <c r="AK260" s="1103">
        <v>46090</v>
      </c>
      <c r="AL260" s="1103">
        <v>46122</v>
      </c>
      <c r="AM260" s="1103">
        <v>46141</v>
      </c>
      <c r="AN260" s="1103">
        <v>46137</v>
      </c>
      <c r="AO260" s="1102" t="s">
        <v>402</v>
      </c>
      <c r="AP260" s="1102" t="s">
        <v>872</v>
      </c>
      <c r="AQ260" s="1102" t="s">
        <v>80</v>
      </c>
      <c r="AR260" s="1102" t="s">
        <v>1313</v>
      </c>
      <c r="AS260" s="1102" t="s">
        <v>1314</v>
      </c>
      <c r="AT260" s="1102" t="s">
        <v>1314</v>
      </c>
      <c r="AU260" s="1102">
        <v>47</v>
      </c>
      <c r="AW260" s="1103">
        <v>46137</v>
      </c>
      <c r="AX260" s="1102" t="s">
        <v>973</v>
      </c>
      <c r="AY260" s="1103">
        <v>46149</v>
      </c>
      <c r="AZ260" s="1102">
        <v>7</v>
      </c>
      <c r="BA260" s="1103">
        <v>46144</v>
      </c>
      <c r="BB260" s="1102">
        <v>2026</v>
      </c>
      <c r="BC260" s="1102">
        <v>5</v>
      </c>
      <c r="BD260" s="1102">
        <v>18</v>
      </c>
      <c r="BE260" s="1102">
        <v>36</v>
      </c>
      <c r="BF260" s="1102">
        <v>864</v>
      </c>
      <c r="BG260" s="1102" t="s">
        <v>108</v>
      </c>
      <c r="BH260" s="1102" t="s">
        <v>109</v>
      </c>
    </row>
    <row r="261" spans="1:60">
      <c r="A261" s="1102" t="s">
        <v>1317</v>
      </c>
      <c r="B261" s="1102" t="s">
        <v>111</v>
      </c>
      <c r="C261" s="1102" t="s">
        <v>1318</v>
      </c>
      <c r="D261" s="1102" t="s">
        <v>63</v>
      </c>
      <c r="E261" s="1102" t="s">
        <v>64</v>
      </c>
      <c r="F261" s="1102" t="s">
        <v>100</v>
      </c>
      <c r="G261" s="1102" t="s">
        <v>402</v>
      </c>
      <c r="H261" s="1102" t="s">
        <v>67</v>
      </c>
      <c r="I261" s="1102" t="s">
        <v>689</v>
      </c>
      <c r="J261" s="1102" t="s">
        <v>483</v>
      </c>
      <c r="M261" s="1102" t="s">
        <v>68</v>
      </c>
      <c r="N261" s="1102" t="s">
        <v>68</v>
      </c>
      <c r="O261" s="1102" t="s">
        <v>473</v>
      </c>
      <c r="P261" s="1102" t="s">
        <v>474</v>
      </c>
      <c r="Q261" s="1102" t="s">
        <v>1319</v>
      </c>
      <c r="R261" s="1102" t="s">
        <v>73</v>
      </c>
      <c r="S261" s="1102" t="s">
        <v>967</v>
      </c>
      <c r="T261" s="1102">
        <v>460</v>
      </c>
      <c r="U261" s="1102">
        <v>1728</v>
      </c>
      <c r="V261" s="1102">
        <v>0.79488000000000003</v>
      </c>
      <c r="W261" s="1102">
        <v>48</v>
      </c>
      <c r="X261" s="1102">
        <v>2</v>
      </c>
      <c r="Y261" s="1102" t="s">
        <v>75</v>
      </c>
      <c r="Z261" s="1102" t="s">
        <v>75</v>
      </c>
      <c r="AB261" s="1103">
        <v>46085</v>
      </c>
      <c r="AC261" s="1102">
        <v>10</v>
      </c>
      <c r="AD261" s="1102" t="s">
        <v>1320</v>
      </c>
      <c r="AF261" s="1102" t="s">
        <v>122</v>
      </c>
      <c r="AG261" s="1102" t="s">
        <v>123</v>
      </c>
      <c r="AH261" s="1102" t="s">
        <v>105</v>
      </c>
      <c r="AI261" s="1103">
        <v>46091</v>
      </c>
      <c r="AJ261" s="1103">
        <v>46090</v>
      </c>
      <c r="AK261" s="1103">
        <v>46090</v>
      </c>
      <c r="AL261" s="1103">
        <v>46122</v>
      </c>
      <c r="AM261" s="1103">
        <v>46141</v>
      </c>
      <c r="AN261" s="1103">
        <v>46137</v>
      </c>
      <c r="AO261" s="1102" t="s">
        <v>402</v>
      </c>
      <c r="AP261" s="1102" t="s">
        <v>872</v>
      </c>
      <c r="AQ261" s="1102" t="s">
        <v>80</v>
      </c>
      <c r="AR261" s="1102" t="s">
        <v>1313</v>
      </c>
      <c r="AS261" s="1102" t="s">
        <v>1314</v>
      </c>
      <c r="AT261" s="1102" t="s">
        <v>1314</v>
      </c>
      <c r="AU261" s="1102">
        <v>47</v>
      </c>
      <c r="AW261" s="1103">
        <v>46137</v>
      </c>
      <c r="AX261" s="1102" t="s">
        <v>973</v>
      </c>
      <c r="AY261" s="1103">
        <v>46149</v>
      </c>
      <c r="AZ261" s="1102">
        <v>7</v>
      </c>
      <c r="BA261" s="1103">
        <v>46144</v>
      </c>
      <c r="BB261" s="1102">
        <v>2026</v>
      </c>
      <c r="BC261" s="1102">
        <v>5</v>
      </c>
      <c r="BD261" s="1102">
        <v>18</v>
      </c>
      <c r="BE261" s="1102">
        <v>36</v>
      </c>
      <c r="BF261" s="1102">
        <v>864</v>
      </c>
      <c r="BG261" s="1102" t="s">
        <v>85</v>
      </c>
      <c r="BH261" s="1102" t="s">
        <v>109</v>
      </c>
    </row>
    <row r="262" spans="1:60">
      <c r="A262" s="1102" t="s">
        <v>1321</v>
      </c>
      <c r="B262" s="1102" t="s">
        <v>111</v>
      </c>
      <c r="C262" s="1102" t="s">
        <v>1061</v>
      </c>
      <c r="D262" s="1102" t="s">
        <v>63</v>
      </c>
      <c r="E262" s="1102" t="s">
        <v>64</v>
      </c>
      <c r="F262" s="1102" t="s">
        <v>100</v>
      </c>
      <c r="G262" s="1102" t="s">
        <v>402</v>
      </c>
      <c r="H262" s="1102" t="s">
        <v>67</v>
      </c>
      <c r="I262" s="1102" t="s">
        <v>869</v>
      </c>
      <c r="J262" s="1102" t="s">
        <v>101</v>
      </c>
      <c r="M262" s="1102" t="s">
        <v>68</v>
      </c>
      <c r="N262" s="1102">
        <v>46076</v>
      </c>
      <c r="O262" s="1102" t="s">
        <v>132</v>
      </c>
      <c r="P262" s="1102" t="s">
        <v>1062</v>
      </c>
      <c r="Q262" s="1102" t="s">
        <v>1063</v>
      </c>
      <c r="R262" s="1102" t="s">
        <v>73</v>
      </c>
      <c r="S262" s="1102" t="s">
        <v>967</v>
      </c>
      <c r="T262" s="1102">
        <v>470</v>
      </c>
      <c r="U262" s="1102">
        <v>1728</v>
      </c>
      <c r="V262" s="1102">
        <v>0.81215999999999999</v>
      </c>
      <c r="W262" s="1102">
        <v>48</v>
      </c>
      <c r="X262" s="1102">
        <v>2</v>
      </c>
      <c r="Y262" s="1102" t="s">
        <v>75</v>
      </c>
      <c r="Z262" s="1102" t="s">
        <v>75</v>
      </c>
      <c r="AB262" s="1103">
        <v>46083</v>
      </c>
      <c r="AC262" s="1102">
        <v>10</v>
      </c>
      <c r="AD262" s="1102" t="s">
        <v>1322</v>
      </c>
      <c r="AF262" s="1102" t="s">
        <v>122</v>
      </c>
      <c r="AG262" s="1102" t="s">
        <v>123</v>
      </c>
      <c r="AH262" s="1102" t="s">
        <v>105</v>
      </c>
      <c r="AI262" s="1103">
        <v>46091</v>
      </c>
      <c r="AJ262" s="1103">
        <v>46090</v>
      </c>
      <c r="AK262" s="1103">
        <v>46090</v>
      </c>
      <c r="AL262" s="1103">
        <v>46122</v>
      </c>
      <c r="AM262" s="1103">
        <v>46141</v>
      </c>
      <c r="AN262" s="1103">
        <v>46137</v>
      </c>
      <c r="AO262" s="1102" t="s">
        <v>402</v>
      </c>
      <c r="AP262" s="1102" t="s">
        <v>872</v>
      </c>
      <c r="AQ262" s="1102" t="s">
        <v>80</v>
      </c>
      <c r="AR262" s="1102" t="s">
        <v>1323</v>
      </c>
      <c r="AS262" s="1102" t="s">
        <v>1324</v>
      </c>
      <c r="AT262" s="1102" t="s">
        <v>1324</v>
      </c>
      <c r="AU262" s="1102">
        <v>47</v>
      </c>
      <c r="AW262" s="1103">
        <v>46137</v>
      </c>
      <c r="AX262" s="1102" t="s">
        <v>973</v>
      </c>
      <c r="AY262" s="1103">
        <v>46149</v>
      </c>
      <c r="AZ262" s="1102">
        <v>7</v>
      </c>
      <c r="BA262" s="1103">
        <v>46144</v>
      </c>
      <c r="BB262" s="1102">
        <v>2026</v>
      </c>
      <c r="BC262" s="1102">
        <v>5</v>
      </c>
      <c r="BD262" s="1102">
        <v>18</v>
      </c>
      <c r="BE262" s="1102">
        <v>36</v>
      </c>
      <c r="BF262" s="1102">
        <v>864</v>
      </c>
      <c r="BG262" s="1102" t="s">
        <v>108</v>
      </c>
      <c r="BH262" s="1102" t="s">
        <v>109</v>
      </c>
    </row>
    <row r="263" spans="1:60">
      <c r="A263" s="1102" t="s">
        <v>1325</v>
      </c>
      <c r="B263" s="1102" t="s">
        <v>111</v>
      </c>
      <c r="C263" s="1102" t="s">
        <v>1326</v>
      </c>
      <c r="D263" s="1102" t="s">
        <v>113</v>
      </c>
      <c r="E263" s="1102" t="s">
        <v>64</v>
      </c>
      <c r="F263" s="1102" t="s">
        <v>65</v>
      </c>
      <c r="G263" s="1102" t="s">
        <v>402</v>
      </c>
      <c r="H263" s="1102" t="s">
        <v>67</v>
      </c>
      <c r="I263" s="1102" t="s">
        <v>822</v>
      </c>
      <c r="J263" s="1102" t="s">
        <v>1327</v>
      </c>
      <c r="M263" s="1102" t="s">
        <v>68</v>
      </c>
      <c r="N263" s="1102" t="s">
        <v>68</v>
      </c>
      <c r="O263" s="1102" t="s">
        <v>70</v>
      </c>
      <c r="P263" s="1102" t="s">
        <v>218</v>
      </c>
      <c r="Q263" s="1102" t="s">
        <v>219</v>
      </c>
      <c r="R263" s="1102" t="s">
        <v>73</v>
      </c>
      <c r="S263" s="1102" t="s">
        <v>992</v>
      </c>
      <c r="T263" s="1102">
        <v>625</v>
      </c>
      <c r="U263" s="1102">
        <v>1440</v>
      </c>
      <c r="V263" s="1102">
        <v>0.9</v>
      </c>
      <c r="W263" s="1102">
        <v>40</v>
      </c>
      <c r="X263" s="1102">
        <v>2</v>
      </c>
      <c r="Y263" s="1102" t="s">
        <v>75</v>
      </c>
      <c r="Z263" s="1102" t="s">
        <v>75</v>
      </c>
      <c r="AB263" s="1103">
        <v>46084</v>
      </c>
      <c r="AC263" s="1102">
        <v>10</v>
      </c>
      <c r="AD263" s="1102" t="s">
        <v>1328</v>
      </c>
      <c r="AF263" s="1102" t="s">
        <v>122</v>
      </c>
      <c r="AG263" s="1102" t="s">
        <v>123</v>
      </c>
      <c r="AH263" s="1102" t="s">
        <v>78</v>
      </c>
      <c r="AI263" s="1103">
        <v>46094</v>
      </c>
      <c r="AJ263" s="1103">
        <v>46096</v>
      </c>
      <c r="AK263" s="1103">
        <v>46097</v>
      </c>
      <c r="AL263" s="1103">
        <v>46140</v>
      </c>
      <c r="AM263" s="1103">
        <v>46145</v>
      </c>
      <c r="AN263" s="1103">
        <v>46148</v>
      </c>
      <c r="AO263" s="1102" t="s">
        <v>402</v>
      </c>
      <c r="AP263" s="1102" t="s">
        <v>1329</v>
      </c>
      <c r="AQ263" s="1102" t="s">
        <v>80</v>
      </c>
      <c r="AR263" s="1102" t="s">
        <v>1330</v>
      </c>
      <c r="AS263" s="1102" t="s">
        <v>1331</v>
      </c>
      <c r="AT263" s="1102" t="s">
        <v>1331</v>
      </c>
      <c r="AU263" s="1102">
        <v>51</v>
      </c>
      <c r="AW263" s="1103">
        <v>46148</v>
      </c>
      <c r="AX263" s="1102" t="s">
        <v>973</v>
      </c>
      <c r="AY263" s="1103">
        <v>46159</v>
      </c>
      <c r="AZ263" s="1102">
        <v>8</v>
      </c>
      <c r="BA263" s="1103">
        <v>46156</v>
      </c>
      <c r="BB263" s="1102">
        <v>2026</v>
      </c>
      <c r="BC263" s="1102">
        <v>5</v>
      </c>
      <c r="BD263" s="1102">
        <v>20</v>
      </c>
      <c r="BE263" s="1102">
        <v>36</v>
      </c>
      <c r="BF263" s="1102">
        <v>720</v>
      </c>
      <c r="BG263" s="1102" t="s">
        <v>128</v>
      </c>
      <c r="BH263" s="1102" t="s">
        <v>86</v>
      </c>
    </row>
    <row r="264" spans="1:60">
      <c r="A264" s="1102" t="s">
        <v>1332</v>
      </c>
      <c r="B264" s="1102" t="s">
        <v>111</v>
      </c>
      <c r="C264" s="1102" t="s">
        <v>1333</v>
      </c>
      <c r="D264" s="1102" t="s">
        <v>113</v>
      </c>
      <c r="E264" s="1102" t="s">
        <v>64</v>
      </c>
      <c r="F264" s="1102" t="s">
        <v>65</v>
      </c>
      <c r="G264" s="1102" t="s">
        <v>402</v>
      </c>
      <c r="H264" s="1102" t="s">
        <v>67</v>
      </c>
      <c r="I264" s="1102" t="s">
        <v>822</v>
      </c>
      <c r="J264" s="1102" t="s">
        <v>1327</v>
      </c>
      <c r="M264" s="1102" t="s">
        <v>68</v>
      </c>
      <c r="N264" s="1102" t="s">
        <v>68</v>
      </c>
      <c r="O264" s="1102" t="s">
        <v>70</v>
      </c>
      <c r="P264" s="1102" t="s">
        <v>1334</v>
      </c>
      <c r="Q264" s="1102" t="s">
        <v>1335</v>
      </c>
      <c r="R264" s="1102" t="s">
        <v>73</v>
      </c>
      <c r="S264" s="1102" t="s">
        <v>992</v>
      </c>
      <c r="T264" s="1102">
        <v>630</v>
      </c>
      <c r="U264" s="1102">
        <v>3600</v>
      </c>
      <c r="V264" s="1102">
        <v>2.2679999999999998</v>
      </c>
      <c r="W264" s="1102">
        <v>100</v>
      </c>
      <c r="X264" s="1102">
        <v>5</v>
      </c>
      <c r="Y264" s="1102" t="s">
        <v>75</v>
      </c>
      <c r="Z264" s="1102" t="s">
        <v>75</v>
      </c>
      <c r="AB264" s="1103">
        <v>46084</v>
      </c>
      <c r="AC264" s="1102">
        <v>10</v>
      </c>
      <c r="AD264" s="1102" t="s">
        <v>1336</v>
      </c>
      <c r="AF264" s="1102" t="s">
        <v>122</v>
      </c>
      <c r="AG264" s="1102" t="s">
        <v>123</v>
      </c>
      <c r="AH264" s="1102" t="s">
        <v>78</v>
      </c>
      <c r="AI264" s="1103">
        <v>46094</v>
      </c>
      <c r="AJ264" s="1103">
        <v>46096</v>
      </c>
      <c r="AK264" s="1103">
        <v>46097</v>
      </c>
      <c r="AL264" s="1103">
        <v>46140</v>
      </c>
      <c r="AM264" s="1103">
        <v>46145</v>
      </c>
      <c r="AN264" s="1103">
        <v>46148</v>
      </c>
      <c r="AO264" s="1102" t="s">
        <v>402</v>
      </c>
      <c r="AP264" s="1102" t="s">
        <v>1329</v>
      </c>
      <c r="AQ264" s="1102" t="s">
        <v>80</v>
      </c>
      <c r="AR264" s="1102" t="s">
        <v>1330</v>
      </c>
      <c r="AS264" s="1102" t="s">
        <v>1331</v>
      </c>
      <c r="AT264" s="1102" t="s">
        <v>1331</v>
      </c>
      <c r="AU264" s="1102">
        <v>51</v>
      </c>
      <c r="AW264" s="1103">
        <v>46148</v>
      </c>
      <c r="AX264" s="1102" t="s">
        <v>973</v>
      </c>
      <c r="AY264" s="1103">
        <v>46159</v>
      </c>
      <c r="AZ264" s="1102">
        <v>8</v>
      </c>
      <c r="BA264" s="1103">
        <v>46156</v>
      </c>
      <c r="BB264" s="1102">
        <v>2026</v>
      </c>
      <c r="BC264" s="1102">
        <v>5</v>
      </c>
      <c r="BD264" s="1102">
        <v>20</v>
      </c>
      <c r="BE264" s="1102">
        <v>36</v>
      </c>
      <c r="BF264" s="1102">
        <v>720</v>
      </c>
      <c r="BG264" s="1102" t="s">
        <v>94</v>
      </c>
      <c r="BH264" s="1102" t="s">
        <v>86</v>
      </c>
    </row>
    <row r="265" spans="1:60">
      <c r="A265" s="1102" t="s">
        <v>1337</v>
      </c>
      <c r="B265" s="1102" t="s">
        <v>111</v>
      </c>
      <c r="C265" s="1102" t="s">
        <v>1333</v>
      </c>
      <c r="D265" s="1102" t="s">
        <v>113</v>
      </c>
      <c r="E265" s="1102" t="s">
        <v>64</v>
      </c>
      <c r="F265" s="1102" t="s">
        <v>65</v>
      </c>
      <c r="G265" s="1102" t="s">
        <v>402</v>
      </c>
      <c r="H265" s="1102" t="s">
        <v>67</v>
      </c>
      <c r="I265" s="1102" t="s">
        <v>822</v>
      </c>
      <c r="J265" s="1102" t="s">
        <v>1327</v>
      </c>
      <c r="M265" s="1102" t="s">
        <v>68</v>
      </c>
      <c r="N265" s="1102" t="s">
        <v>68</v>
      </c>
      <c r="O265" s="1102" t="s">
        <v>70</v>
      </c>
      <c r="P265" s="1102" t="s">
        <v>1334</v>
      </c>
      <c r="Q265" s="1102" t="s">
        <v>1335</v>
      </c>
      <c r="R265" s="1102" t="s">
        <v>73</v>
      </c>
      <c r="S265" s="1102" t="s">
        <v>992</v>
      </c>
      <c r="T265" s="1102">
        <v>630</v>
      </c>
      <c r="U265" s="1102">
        <v>5760</v>
      </c>
      <c r="V265" s="1102">
        <v>3.6288</v>
      </c>
      <c r="W265" s="1102">
        <v>160</v>
      </c>
      <c r="X265" s="1102">
        <v>8</v>
      </c>
      <c r="Y265" s="1102" t="s">
        <v>75</v>
      </c>
      <c r="Z265" s="1102" t="s">
        <v>75</v>
      </c>
      <c r="AB265" s="1103">
        <v>46084</v>
      </c>
      <c r="AC265" s="1102">
        <v>10</v>
      </c>
      <c r="AD265" s="1102" t="s">
        <v>1338</v>
      </c>
      <c r="AF265" s="1102" t="s">
        <v>122</v>
      </c>
      <c r="AG265" s="1102" t="s">
        <v>123</v>
      </c>
      <c r="AH265" s="1102" t="s">
        <v>78</v>
      </c>
      <c r="AI265" s="1103">
        <v>46092</v>
      </c>
      <c r="AJ265" s="1103">
        <v>46094</v>
      </c>
      <c r="AK265" s="1103">
        <v>46094</v>
      </c>
      <c r="AL265" s="1103">
        <v>46143</v>
      </c>
      <c r="AM265" s="1103">
        <v>46144</v>
      </c>
      <c r="AN265" s="1103">
        <v>46144</v>
      </c>
      <c r="AO265" s="1102" t="s">
        <v>402</v>
      </c>
      <c r="AP265" s="1102" t="s">
        <v>1224</v>
      </c>
      <c r="AQ265" s="1102" t="s">
        <v>80</v>
      </c>
      <c r="AR265" s="1102" t="s">
        <v>1339</v>
      </c>
      <c r="AS265" s="1102" t="s">
        <v>1340</v>
      </c>
      <c r="AT265" s="1102" t="s">
        <v>1340</v>
      </c>
      <c r="AU265" s="1102">
        <v>50</v>
      </c>
      <c r="AW265" s="1103">
        <v>46144</v>
      </c>
      <c r="AX265" s="1102" t="s">
        <v>973</v>
      </c>
      <c r="AY265" s="1103">
        <v>46159</v>
      </c>
      <c r="AZ265" s="1102">
        <v>8</v>
      </c>
      <c r="BA265" s="1103">
        <v>46152</v>
      </c>
      <c r="BB265" s="1102">
        <v>2026</v>
      </c>
      <c r="BC265" s="1102">
        <v>5</v>
      </c>
      <c r="BD265" s="1102">
        <v>19</v>
      </c>
      <c r="BE265" s="1102">
        <v>36</v>
      </c>
      <c r="BF265" s="1102">
        <v>720</v>
      </c>
      <c r="BG265" s="1102" t="s">
        <v>94</v>
      </c>
      <c r="BH265" s="1102" t="s">
        <v>86</v>
      </c>
    </row>
    <row r="266" spans="1:60">
      <c r="A266" s="1102" t="s">
        <v>1341</v>
      </c>
      <c r="B266" s="1102" t="s">
        <v>111</v>
      </c>
      <c r="C266" s="1102" t="s">
        <v>1318</v>
      </c>
      <c r="D266" s="1102" t="s">
        <v>63</v>
      </c>
      <c r="E266" s="1102" t="s">
        <v>64</v>
      </c>
      <c r="F266" s="1102" t="s">
        <v>310</v>
      </c>
      <c r="G266" s="1102" t="s">
        <v>402</v>
      </c>
      <c r="H266" s="1102" t="s">
        <v>311</v>
      </c>
      <c r="I266" s="1102" t="s">
        <v>689</v>
      </c>
      <c r="J266" s="1102" t="s">
        <v>1342</v>
      </c>
      <c r="M266" s="1102" t="s">
        <v>68</v>
      </c>
      <c r="N266" s="1102">
        <v>46083</v>
      </c>
      <c r="O266" s="1102" t="s">
        <v>473</v>
      </c>
      <c r="P266" s="1102" t="s">
        <v>474</v>
      </c>
      <c r="Q266" s="1102" t="s">
        <v>1319</v>
      </c>
      <c r="R266" s="1102" t="s">
        <v>73</v>
      </c>
      <c r="S266" s="1102" t="s">
        <v>967</v>
      </c>
      <c r="T266" s="1102">
        <v>460</v>
      </c>
      <c r="U266" s="1102">
        <v>3456</v>
      </c>
      <c r="V266" s="1102">
        <v>1.5897600000000001</v>
      </c>
      <c r="W266" s="1102">
        <v>96</v>
      </c>
      <c r="X266" s="1102">
        <v>4</v>
      </c>
      <c r="Y266" s="1102" t="s">
        <v>75</v>
      </c>
      <c r="Z266" s="1102" t="s">
        <v>75</v>
      </c>
      <c r="AB266" s="1103">
        <v>46083</v>
      </c>
      <c r="AC266" s="1102">
        <v>10</v>
      </c>
      <c r="AD266" s="1102" t="s">
        <v>1343</v>
      </c>
      <c r="AF266" s="1102" t="s">
        <v>122</v>
      </c>
      <c r="AG266" s="1102" t="s">
        <v>123</v>
      </c>
      <c r="AH266" s="1102" t="s">
        <v>314</v>
      </c>
      <c r="AI266" s="1103">
        <v>46092</v>
      </c>
      <c r="AJ266" s="1103">
        <v>46094</v>
      </c>
      <c r="AK266" s="1103">
        <v>46094</v>
      </c>
      <c r="AL266" s="1103">
        <v>46138</v>
      </c>
      <c r="AM266" s="1103">
        <v>46148</v>
      </c>
      <c r="AN266" s="1103">
        <v>46148</v>
      </c>
      <c r="AO266" s="1102" t="s">
        <v>402</v>
      </c>
      <c r="AP266" s="1102" t="s">
        <v>1224</v>
      </c>
      <c r="AQ266" s="1102" t="s">
        <v>80</v>
      </c>
      <c r="AR266" s="1102" t="s">
        <v>1344</v>
      </c>
      <c r="AS266" s="1102" t="s">
        <v>1345</v>
      </c>
      <c r="AT266" s="1102" t="s">
        <v>1345</v>
      </c>
      <c r="AU266" s="1102">
        <v>54</v>
      </c>
      <c r="AW266" s="1103">
        <v>46148</v>
      </c>
      <c r="AX266" s="1102" t="s">
        <v>973</v>
      </c>
      <c r="AY266" s="1103">
        <v>46161</v>
      </c>
      <c r="AZ266" s="1102">
        <v>13</v>
      </c>
      <c r="BA266" s="1103">
        <v>46161</v>
      </c>
      <c r="BB266" s="1102">
        <v>2026</v>
      </c>
      <c r="BC266" s="1102">
        <v>5</v>
      </c>
      <c r="BD266" s="1102">
        <v>21</v>
      </c>
      <c r="BE266" s="1102">
        <v>36</v>
      </c>
      <c r="BF266" s="1102">
        <v>864</v>
      </c>
      <c r="BG266" s="1102" t="s">
        <v>85</v>
      </c>
      <c r="BH266" s="1102" t="s">
        <v>86</v>
      </c>
    </row>
    <row r="267" spans="1:60">
      <c r="A267" s="1102" t="s">
        <v>1346</v>
      </c>
      <c r="B267" s="1102" t="s">
        <v>111</v>
      </c>
      <c r="C267" s="1102" t="s">
        <v>203</v>
      </c>
      <c r="D267" s="1102" t="s">
        <v>63</v>
      </c>
      <c r="E267" s="1102" t="s">
        <v>144</v>
      </c>
      <c r="F267" s="1102" t="s">
        <v>145</v>
      </c>
      <c r="G267" s="1102" t="s">
        <v>402</v>
      </c>
      <c r="H267" s="1102" t="s">
        <v>538</v>
      </c>
      <c r="I267" s="1102" t="s">
        <v>882</v>
      </c>
      <c r="J267" s="1102" t="s">
        <v>1232</v>
      </c>
      <c r="K267" s="1102" t="s">
        <v>1233</v>
      </c>
      <c r="M267" s="1102" t="s">
        <v>840</v>
      </c>
      <c r="N267" s="1102">
        <v>46045</v>
      </c>
      <c r="O267" s="1102" t="s">
        <v>1032</v>
      </c>
      <c r="P267" s="1102" t="s">
        <v>1347</v>
      </c>
      <c r="Q267" s="1102" t="s">
        <v>1348</v>
      </c>
      <c r="R267" s="1102" t="s">
        <v>73</v>
      </c>
      <c r="S267" s="1102" t="s">
        <v>992</v>
      </c>
      <c r="T267" s="1102">
        <v>710</v>
      </c>
      <c r="U267" s="1102">
        <v>132</v>
      </c>
      <c r="V267" s="1102">
        <v>9.3719999999999998E-2</v>
      </c>
      <c r="W267" s="1102">
        <v>4</v>
      </c>
      <c r="X267" s="1102">
        <v>0.22222222222222221</v>
      </c>
      <c r="Y267" s="1102" t="s">
        <v>75</v>
      </c>
      <c r="Z267" s="1102" t="s">
        <v>75</v>
      </c>
      <c r="AB267" s="1103">
        <v>46086</v>
      </c>
      <c r="AC267" s="1102">
        <v>10</v>
      </c>
      <c r="AD267" s="1102" t="s">
        <v>1349</v>
      </c>
      <c r="AF267" s="1102" t="s">
        <v>122</v>
      </c>
      <c r="AG267" s="1102" t="s">
        <v>123</v>
      </c>
      <c r="AH267" s="1102" t="s">
        <v>541</v>
      </c>
      <c r="AI267" s="1103">
        <v>46091</v>
      </c>
      <c r="AJ267" s="1103">
        <v>46091</v>
      </c>
      <c r="AK267" s="1103">
        <v>46091</v>
      </c>
      <c r="AL267" s="1103">
        <v>46154</v>
      </c>
      <c r="AM267" s="1103">
        <v>46161</v>
      </c>
      <c r="AN267" s="1103">
        <v>46162</v>
      </c>
      <c r="AO267" s="1102" t="s">
        <v>402</v>
      </c>
      <c r="AP267" s="1102" t="s">
        <v>1350</v>
      </c>
      <c r="AQ267" s="1102" t="s">
        <v>161</v>
      </c>
      <c r="AR267" s="1102" t="s">
        <v>1351</v>
      </c>
      <c r="AS267" s="1102" t="s">
        <v>1352</v>
      </c>
      <c r="AT267" s="1102" t="s">
        <v>1353</v>
      </c>
      <c r="AU267" s="1102">
        <v>71</v>
      </c>
      <c r="AW267" s="1103">
        <v>46162</v>
      </c>
      <c r="AX267" s="1102" t="s">
        <v>973</v>
      </c>
      <c r="AY267" s="1103">
        <v>46167</v>
      </c>
      <c r="AZ267" s="1102">
        <v>0</v>
      </c>
      <c r="BA267" s="1103">
        <v>46162</v>
      </c>
      <c r="BB267" s="1102">
        <v>2026</v>
      </c>
      <c r="BC267" s="1102">
        <v>5</v>
      </c>
      <c r="BD267" s="1102">
        <v>21</v>
      </c>
      <c r="BE267" s="1102">
        <v>33</v>
      </c>
      <c r="BF267" s="1102">
        <v>594</v>
      </c>
      <c r="BG267" s="1102" t="s">
        <v>128</v>
      </c>
      <c r="BH267" s="1102" t="s">
        <v>109</v>
      </c>
    </row>
    <row r="268" spans="1:60">
      <c r="A268" s="1102" t="s">
        <v>1354</v>
      </c>
      <c r="B268" s="1102" t="s">
        <v>111</v>
      </c>
      <c r="C268" s="1102" t="s">
        <v>203</v>
      </c>
      <c r="D268" s="1102" t="s">
        <v>63</v>
      </c>
      <c r="E268" s="1102" t="s">
        <v>144</v>
      </c>
      <c r="F268" s="1102" t="s">
        <v>145</v>
      </c>
      <c r="G268" s="1102" t="s">
        <v>402</v>
      </c>
      <c r="H268" s="1102" t="s">
        <v>538</v>
      </c>
      <c r="I268" s="1102" t="s">
        <v>882</v>
      </c>
      <c r="J268" s="1102" t="s">
        <v>1232</v>
      </c>
      <c r="K268" s="1102" t="s">
        <v>1233</v>
      </c>
      <c r="M268" s="1102" t="s">
        <v>840</v>
      </c>
      <c r="N268" s="1102">
        <v>46045</v>
      </c>
      <c r="O268" s="1102" t="s">
        <v>1032</v>
      </c>
      <c r="P268" s="1102" t="s">
        <v>1355</v>
      </c>
      <c r="Q268" s="1102" t="s">
        <v>1356</v>
      </c>
      <c r="R268" s="1102" t="s">
        <v>73</v>
      </c>
      <c r="S268" s="1102" t="s">
        <v>992</v>
      </c>
      <c r="T268" s="1102">
        <v>715</v>
      </c>
      <c r="U268" s="1102">
        <v>462</v>
      </c>
      <c r="V268" s="1102">
        <v>0.33033000000000001</v>
      </c>
      <c r="W268" s="1102">
        <v>14</v>
      </c>
      <c r="X268" s="1102">
        <v>0.77777777777777779</v>
      </c>
      <c r="Y268" s="1102" t="s">
        <v>75</v>
      </c>
      <c r="Z268" s="1102" t="s">
        <v>75</v>
      </c>
      <c r="AB268" s="1103">
        <v>46086</v>
      </c>
      <c r="AC268" s="1102">
        <v>10</v>
      </c>
      <c r="AD268" s="1102" t="s">
        <v>1357</v>
      </c>
      <c r="AF268" s="1102" t="s">
        <v>122</v>
      </c>
      <c r="AG268" s="1102" t="s">
        <v>123</v>
      </c>
      <c r="AH268" s="1102" t="s">
        <v>541</v>
      </c>
      <c r="AI268" s="1103">
        <v>46091</v>
      </c>
      <c r="AJ268" s="1103">
        <v>46091</v>
      </c>
      <c r="AK268" s="1103">
        <v>46091</v>
      </c>
      <c r="AL268" s="1103">
        <v>46154</v>
      </c>
      <c r="AM268" s="1103">
        <v>46161</v>
      </c>
      <c r="AN268" s="1103">
        <v>46162</v>
      </c>
      <c r="AO268" s="1102" t="s">
        <v>402</v>
      </c>
      <c r="AP268" s="1102" t="s">
        <v>1350</v>
      </c>
      <c r="AQ268" s="1102" t="s">
        <v>161</v>
      </c>
      <c r="AR268" s="1102" t="s">
        <v>1351</v>
      </c>
      <c r="AS268" s="1102" t="s">
        <v>1352</v>
      </c>
      <c r="AT268" s="1102" t="s">
        <v>1353</v>
      </c>
      <c r="AU268" s="1102">
        <v>71</v>
      </c>
      <c r="AW268" s="1103">
        <v>46162</v>
      </c>
      <c r="AX268" s="1102" t="s">
        <v>973</v>
      </c>
      <c r="AY268" s="1103">
        <v>46167</v>
      </c>
      <c r="AZ268" s="1102">
        <v>0</v>
      </c>
      <c r="BA268" s="1103">
        <v>46162</v>
      </c>
      <c r="BB268" s="1102">
        <v>2026</v>
      </c>
      <c r="BC268" s="1102">
        <v>5</v>
      </c>
      <c r="BD268" s="1102">
        <v>21</v>
      </c>
      <c r="BE268" s="1102">
        <v>33</v>
      </c>
      <c r="BF268" s="1102">
        <v>594</v>
      </c>
      <c r="BG268" s="1102" t="s">
        <v>128</v>
      </c>
      <c r="BH268" s="1102" t="s">
        <v>109</v>
      </c>
    </row>
    <row r="269" spans="1:60">
      <c r="A269" s="1102" t="s">
        <v>1358</v>
      </c>
      <c r="B269" s="1102" t="s">
        <v>61</v>
      </c>
      <c r="C269" s="1102" t="s">
        <v>1016</v>
      </c>
      <c r="D269" s="1102" t="s">
        <v>63</v>
      </c>
      <c r="E269" s="1102" t="s">
        <v>64</v>
      </c>
      <c r="F269" s="1102" t="s">
        <v>100</v>
      </c>
      <c r="G269" s="1102" t="s">
        <v>402</v>
      </c>
      <c r="H269" s="1102" t="s">
        <v>67</v>
      </c>
      <c r="I269" s="1102" t="s">
        <v>689</v>
      </c>
      <c r="J269" s="1102" t="s">
        <v>1132</v>
      </c>
      <c r="M269" s="1102" t="s">
        <v>840</v>
      </c>
      <c r="N269" s="1102">
        <v>46069</v>
      </c>
      <c r="O269" s="1102" t="s">
        <v>70</v>
      </c>
      <c r="P269" s="1102" t="s">
        <v>195</v>
      </c>
      <c r="Q269" s="1102" t="s">
        <v>196</v>
      </c>
      <c r="R269" s="1102" t="s">
        <v>73</v>
      </c>
      <c r="S269" s="1102" t="s">
        <v>967</v>
      </c>
      <c r="T269" s="1102">
        <v>450</v>
      </c>
      <c r="U269" s="1102">
        <v>4680</v>
      </c>
      <c r="V269" s="1102">
        <v>2.1059999999999999</v>
      </c>
      <c r="W269" s="1102">
        <v>130</v>
      </c>
      <c r="X269" s="1102">
        <v>5</v>
      </c>
      <c r="Y269" s="1102" t="s">
        <v>75</v>
      </c>
      <c r="Z269" s="1102" t="s">
        <v>75</v>
      </c>
      <c r="AB269" s="1103">
        <v>46084</v>
      </c>
      <c r="AC269" s="1102">
        <v>10</v>
      </c>
      <c r="AD269" s="1102" t="s">
        <v>1359</v>
      </c>
      <c r="AF269" s="1102" t="s">
        <v>77</v>
      </c>
      <c r="AG269" s="1102" t="s">
        <v>61</v>
      </c>
      <c r="AH269" s="1102" t="s">
        <v>105</v>
      </c>
      <c r="AI269" s="1103">
        <v>46088</v>
      </c>
      <c r="AJ269" s="1103">
        <v>46088</v>
      </c>
      <c r="AK269" s="1103">
        <v>46088</v>
      </c>
      <c r="AL269" s="1103">
        <v>46141</v>
      </c>
      <c r="AM269" s="1103">
        <v>46142</v>
      </c>
      <c r="AN269" s="1103">
        <v>46141</v>
      </c>
      <c r="AO269" s="1102" t="s">
        <v>402</v>
      </c>
      <c r="AP269" s="1102" t="s">
        <v>889</v>
      </c>
      <c r="AQ269" s="1102" t="s">
        <v>80</v>
      </c>
      <c r="AR269" s="1102" t="s">
        <v>1360</v>
      </c>
      <c r="AS269" s="1102" t="s">
        <v>1361</v>
      </c>
      <c r="AT269" s="1102" t="s">
        <v>1361</v>
      </c>
      <c r="AU269" s="1102">
        <v>53</v>
      </c>
      <c r="AW269" s="1103">
        <v>46141</v>
      </c>
      <c r="AX269" s="1102" t="s">
        <v>973</v>
      </c>
      <c r="AY269" s="1103">
        <v>46162</v>
      </c>
      <c r="AZ269" s="1102">
        <v>7</v>
      </c>
      <c r="BA269" s="1103">
        <v>46148</v>
      </c>
      <c r="BB269" s="1102">
        <v>2026</v>
      </c>
      <c r="BC269" s="1102">
        <v>5</v>
      </c>
      <c r="BD269" s="1102">
        <v>19</v>
      </c>
      <c r="BE269" s="1102">
        <v>36</v>
      </c>
      <c r="BF269" s="1102">
        <v>936</v>
      </c>
      <c r="BG269" s="1102" t="s">
        <v>85</v>
      </c>
      <c r="BH269" s="1102" t="s">
        <v>109</v>
      </c>
    </row>
    <row r="270" spans="1:60">
      <c r="A270" s="1102" t="s">
        <v>1362</v>
      </c>
      <c r="B270" s="1102" t="s">
        <v>61</v>
      </c>
      <c r="C270" s="1102" t="s">
        <v>1016</v>
      </c>
      <c r="D270" s="1102" t="s">
        <v>63</v>
      </c>
      <c r="E270" s="1102" t="s">
        <v>64</v>
      </c>
      <c r="F270" s="1102" t="s">
        <v>100</v>
      </c>
      <c r="G270" s="1102" t="s">
        <v>402</v>
      </c>
      <c r="H270" s="1102" t="s">
        <v>67</v>
      </c>
      <c r="I270" s="1102" t="s">
        <v>689</v>
      </c>
      <c r="J270" s="1102" t="s">
        <v>1363</v>
      </c>
      <c r="M270" s="1102" t="s">
        <v>68</v>
      </c>
      <c r="N270" s="1102">
        <v>46069</v>
      </c>
      <c r="O270" s="1102" t="s">
        <v>70</v>
      </c>
      <c r="P270" s="1102" t="s">
        <v>195</v>
      </c>
      <c r="Q270" s="1102" t="s">
        <v>196</v>
      </c>
      <c r="R270" s="1102" t="s">
        <v>73</v>
      </c>
      <c r="S270" s="1102" t="s">
        <v>967</v>
      </c>
      <c r="T270" s="1102">
        <v>450</v>
      </c>
      <c r="U270" s="1102">
        <v>1872</v>
      </c>
      <c r="V270" s="1102">
        <v>0.84240000000000004</v>
      </c>
      <c r="W270" s="1102">
        <v>52</v>
      </c>
      <c r="X270" s="1102">
        <v>2</v>
      </c>
      <c r="Y270" s="1102" t="s">
        <v>75</v>
      </c>
      <c r="Z270" s="1102" t="s">
        <v>75</v>
      </c>
      <c r="AB270" s="1103">
        <v>46083</v>
      </c>
      <c r="AC270" s="1102">
        <v>10</v>
      </c>
      <c r="AD270" s="1102" t="s">
        <v>1364</v>
      </c>
      <c r="AF270" s="1102" t="s">
        <v>77</v>
      </c>
      <c r="AG270" s="1102" t="s">
        <v>61</v>
      </c>
      <c r="AH270" s="1102" t="s">
        <v>105</v>
      </c>
      <c r="AI270" s="1103">
        <v>46088</v>
      </c>
      <c r="AJ270" s="1103">
        <v>46088</v>
      </c>
      <c r="AK270" s="1103">
        <v>46088</v>
      </c>
      <c r="AL270" s="1103">
        <v>46133</v>
      </c>
      <c r="AM270" s="1103">
        <v>46142</v>
      </c>
      <c r="AN270" s="1103">
        <v>46141</v>
      </c>
      <c r="AO270" s="1102" t="s">
        <v>402</v>
      </c>
      <c r="AP270" s="1102" t="s">
        <v>889</v>
      </c>
      <c r="AQ270" s="1102" t="s">
        <v>80</v>
      </c>
      <c r="AR270" s="1102" t="s">
        <v>1365</v>
      </c>
      <c r="AS270" s="1102" t="s">
        <v>1366</v>
      </c>
      <c r="AT270" s="1102" t="s">
        <v>1366</v>
      </c>
      <c r="AU270" s="1102">
        <v>53</v>
      </c>
      <c r="AW270" s="1103">
        <v>46141</v>
      </c>
      <c r="AX270" s="1102" t="s">
        <v>973</v>
      </c>
      <c r="AY270" s="1103">
        <v>46162</v>
      </c>
      <c r="AZ270" s="1102">
        <v>7</v>
      </c>
      <c r="BA270" s="1103">
        <v>46148</v>
      </c>
      <c r="BB270" s="1102">
        <v>2026</v>
      </c>
      <c r="BC270" s="1102">
        <v>5</v>
      </c>
      <c r="BD270" s="1102">
        <v>19</v>
      </c>
      <c r="BE270" s="1102">
        <v>36</v>
      </c>
      <c r="BF270" s="1102">
        <v>936</v>
      </c>
      <c r="BG270" s="1102" t="s">
        <v>85</v>
      </c>
      <c r="BH270" s="1102" t="s">
        <v>109</v>
      </c>
    </row>
    <row r="271" spans="1:60">
      <c r="A271" s="1102" t="s">
        <v>1367</v>
      </c>
      <c r="B271" s="1102" t="s">
        <v>61</v>
      </c>
      <c r="C271" s="1102" t="s">
        <v>1016</v>
      </c>
      <c r="D271" s="1102" t="s">
        <v>63</v>
      </c>
      <c r="E271" s="1102" t="s">
        <v>64</v>
      </c>
      <c r="F271" s="1102" t="s">
        <v>100</v>
      </c>
      <c r="G271" s="1102" t="s">
        <v>402</v>
      </c>
      <c r="H271" s="1102" t="s">
        <v>67</v>
      </c>
      <c r="I271" s="1102" t="s">
        <v>689</v>
      </c>
      <c r="J271" s="1102" t="s">
        <v>1368</v>
      </c>
      <c r="M271" s="1102" t="s">
        <v>68</v>
      </c>
      <c r="N271" s="1102">
        <v>46069</v>
      </c>
      <c r="O271" s="1102" t="s">
        <v>70</v>
      </c>
      <c r="P271" s="1102" t="s">
        <v>195</v>
      </c>
      <c r="Q271" s="1102" t="s">
        <v>196</v>
      </c>
      <c r="R271" s="1102" t="s">
        <v>73</v>
      </c>
      <c r="S271" s="1102" t="s">
        <v>967</v>
      </c>
      <c r="T271" s="1102">
        <v>450</v>
      </c>
      <c r="U271" s="1102">
        <v>1872</v>
      </c>
      <c r="V271" s="1102">
        <v>0.84240000000000004</v>
      </c>
      <c r="W271" s="1102">
        <v>52</v>
      </c>
      <c r="X271" s="1102">
        <v>2</v>
      </c>
      <c r="Y271" s="1102" t="s">
        <v>75</v>
      </c>
      <c r="Z271" s="1102" t="s">
        <v>75</v>
      </c>
      <c r="AB271" s="1103">
        <v>46083</v>
      </c>
      <c r="AC271" s="1102">
        <v>10</v>
      </c>
      <c r="AD271" s="1102" t="s">
        <v>1369</v>
      </c>
      <c r="AF271" s="1102" t="s">
        <v>77</v>
      </c>
      <c r="AG271" s="1102" t="s">
        <v>61</v>
      </c>
      <c r="AH271" s="1102" t="s">
        <v>105</v>
      </c>
      <c r="AI271" s="1103">
        <v>46088</v>
      </c>
      <c r="AJ271" s="1103">
        <v>46088</v>
      </c>
      <c r="AK271" s="1103">
        <v>46088</v>
      </c>
      <c r="AL271" s="1103">
        <v>46133</v>
      </c>
      <c r="AM271" s="1103">
        <v>46142</v>
      </c>
      <c r="AN271" s="1103">
        <v>46141</v>
      </c>
      <c r="AO271" s="1102" t="s">
        <v>402</v>
      </c>
      <c r="AP271" s="1102" t="s">
        <v>889</v>
      </c>
      <c r="AQ271" s="1102" t="s">
        <v>80</v>
      </c>
      <c r="AR271" s="1102" t="s">
        <v>1365</v>
      </c>
      <c r="AS271" s="1102" t="s">
        <v>1366</v>
      </c>
      <c r="AT271" s="1102" t="s">
        <v>1366</v>
      </c>
      <c r="AU271" s="1102">
        <v>53</v>
      </c>
      <c r="AW271" s="1103">
        <v>46141</v>
      </c>
      <c r="AX271" s="1102" t="s">
        <v>973</v>
      </c>
      <c r="AY271" s="1103">
        <v>46162</v>
      </c>
      <c r="AZ271" s="1102">
        <v>7</v>
      </c>
      <c r="BA271" s="1103">
        <v>46148</v>
      </c>
      <c r="BB271" s="1102">
        <v>2026</v>
      </c>
      <c r="BC271" s="1102">
        <v>5</v>
      </c>
      <c r="BD271" s="1102">
        <v>19</v>
      </c>
      <c r="BE271" s="1102">
        <v>36</v>
      </c>
      <c r="BF271" s="1102">
        <v>936</v>
      </c>
      <c r="BG271" s="1102" t="s">
        <v>85</v>
      </c>
      <c r="BH271" s="1102" t="s">
        <v>109</v>
      </c>
    </row>
    <row r="272" spans="1:60">
      <c r="A272" s="1102" t="s">
        <v>1370</v>
      </c>
      <c r="B272" s="1102" t="s">
        <v>61</v>
      </c>
      <c r="C272" s="1102" t="s">
        <v>1016</v>
      </c>
      <c r="D272" s="1102" t="s">
        <v>63</v>
      </c>
      <c r="E272" s="1102" t="s">
        <v>64</v>
      </c>
      <c r="F272" s="1102" t="s">
        <v>100</v>
      </c>
      <c r="G272" s="1102" t="s">
        <v>402</v>
      </c>
      <c r="H272" s="1102" t="s">
        <v>67</v>
      </c>
      <c r="I272" s="1102" t="s">
        <v>689</v>
      </c>
      <c r="J272" s="1102" t="s">
        <v>1371</v>
      </c>
      <c r="M272" s="1102" t="s">
        <v>68</v>
      </c>
      <c r="N272" s="1102">
        <v>46069</v>
      </c>
      <c r="O272" s="1102" t="s">
        <v>70</v>
      </c>
      <c r="P272" s="1102" t="s">
        <v>195</v>
      </c>
      <c r="Q272" s="1102" t="s">
        <v>196</v>
      </c>
      <c r="R272" s="1102" t="s">
        <v>73</v>
      </c>
      <c r="S272" s="1102" t="s">
        <v>967</v>
      </c>
      <c r="T272" s="1102">
        <v>450</v>
      </c>
      <c r="U272" s="1102">
        <v>936</v>
      </c>
      <c r="V272" s="1102">
        <v>0.42120000000000002</v>
      </c>
      <c r="W272" s="1102">
        <v>26</v>
      </c>
      <c r="X272" s="1102">
        <v>1</v>
      </c>
      <c r="Y272" s="1102" t="s">
        <v>75</v>
      </c>
      <c r="Z272" s="1102" t="s">
        <v>75</v>
      </c>
      <c r="AB272" s="1103">
        <v>46083</v>
      </c>
      <c r="AC272" s="1102">
        <v>10</v>
      </c>
      <c r="AD272" s="1102" t="s">
        <v>1372</v>
      </c>
      <c r="AF272" s="1102" t="s">
        <v>77</v>
      </c>
      <c r="AG272" s="1102" t="s">
        <v>61</v>
      </c>
      <c r="AH272" s="1102" t="s">
        <v>105</v>
      </c>
      <c r="AI272" s="1103">
        <v>46088</v>
      </c>
      <c r="AJ272" s="1103">
        <v>46088</v>
      </c>
      <c r="AK272" s="1103">
        <v>46088</v>
      </c>
      <c r="AL272" s="1103">
        <v>46133</v>
      </c>
      <c r="AM272" s="1103">
        <v>46142</v>
      </c>
      <c r="AN272" s="1103">
        <v>46141</v>
      </c>
      <c r="AO272" s="1102" t="s">
        <v>402</v>
      </c>
      <c r="AP272" s="1102" t="s">
        <v>889</v>
      </c>
      <c r="AQ272" s="1102" t="s">
        <v>80</v>
      </c>
      <c r="AR272" s="1102" t="s">
        <v>1365</v>
      </c>
      <c r="AS272" s="1102" t="s">
        <v>1366</v>
      </c>
      <c r="AT272" s="1102" t="s">
        <v>1366</v>
      </c>
      <c r="AU272" s="1102">
        <v>53</v>
      </c>
      <c r="AW272" s="1103">
        <v>46141</v>
      </c>
      <c r="AX272" s="1102" t="s">
        <v>973</v>
      </c>
      <c r="AY272" s="1103">
        <v>46162</v>
      </c>
      <c r="AZ272" s="1102">
        <v>7</v>
      </c>
      <c r="BA272" s="1103">
        <v>46148</v>
      </c>
      <c r="BB272" s="1102">
        <v>2026</v>
      </c>
      <c r="BC272" s="1102">
        <v>5</v>
      </c>
      <c r="BD272" s="1102">
        <v>19</v>
      </c>
      <c r="BE272" s="1102">
        <v>36</v>
      </c>
      <c r="BF272" s="1102">
        <v>936</v>
      </c>
      <c r="BG272" s="1102" t="s">
        <v>85</v>
      </c>
      <c r="BH272" s="1102" t="s">
        <v>109</v>
      </c>
    </row>
    <row r="273" spans="1:60">
      <c r="A273" s="1102" t="s">
        <v>1373</v>
      </c>
      <c r="B273" s="1102" t="s">
        <v>61</v>
      </c>
      <c r="C273" s="1102" t="s">
        <v>1149</v>
      </c>
      <c r="D273" s="1102" t="s">
        <v>63</v>
      </c>
      <c r="E273" s="1102" t="s">
        <v>64</v>
      </c>
      <c r="F273" s="1102" t="s">
        <v>100</v>
      </c>
      <c r="G273" s="1102" t="s">
        <v>402</v>
      </c>
      <c r="H273" s="1102" t="s">
        <v>67</v>
      </c>
      <c r="I273" s="1102" t="s">
        <v>689</v>
      </c>
      <c r="J273" s="1102" t="s">
        <v>101</v>
      </c>
      <c r="M273" s="1102" t="s">
        <v>68</v>
      </c>
      <c r="N273" s="1102">
        <v>46048</v>
      </c>
      <c r="O273" s="1102" t="s">
        <v>70</v>
      </c>
      <c r="P273" s="1102" t="s">
        <v>1151</v>
      </c>
      <c r="Q273" s="1102" t="s">
        <v>421</v>
      </c>
      <c r="R273" s="1102" t="s">
        <v>73</v>
      </c>
      <c r="S273" s="1102" t="s">
        <v>967</v>
      </c>
      <c r="T273" s="1102">
        <v>505</v>
      </c>
      <c r="U273" s="1102">
        <v>2592</v>
      </c>
      <c r="V273" s="1102">
        <v>1.3089599999999999</v>
      </c>
      <c r="W273" s="1102">
        <v>72</v>
      </c>
      <c r="X273" s="1102">
        <v>3</v>
      </c>
      <c r="Y273" s="1102" t="s">
        <v>75</v>
      </c>
      <c r="Z273" s="1102" t="s">
        <v>75</v>
      </c>
      <c r="AB273" s="1103">
        <v>46083</v>
      </c>
      <c r="AC273" s="1102">
        <v>10</v>
      </c>
      <c r="AD273" s="1102" t="s">
        <v>1374</v>
      </c>
      <c r="AF273" s="1102" t="s">
        <v>77</v>
      </c>
      <c r="AG273" s="1102" t="s">
        <v>61</v>
      </c>
      <c r="AH273" s="1102" t="s">
        <v>105</v>
      </c>
      <c r="AI273" s="1103">
        <v>46088</v>
      </c>
      <c r="AJ273" s="1103">
        <v>46088</v>
      </c>
      <c r="AK273" s="1103">
        <v>46088</v>
      </c>
      <c r="AL273" s="1103">
        <v>46133</v>
      </c>
      <c r="AM273" s="1103">
        <v>46142</v>
      </c>
      <c r="AN273" s="1103">
        <v>46141</v>
      </c>
      <c r="AO273" s="1102" t="s">
        <v>402</v>
      </c>
      <c r="AP273" s="1102" t="s">
        <v>889</v>
      </c>
      <c r="AQ273" s="1102" t="s">
        <v>80</v>
      </c>
      <c r="AR273" s="1102" t="s">
        <v>1365</v>
      </c>
      <c r="AS273" s="1102" t="s">
        <v>1366</v>
      </c>
      <c r="AT273" s="1102" t="s">
        <v>1366</v>
      </c>
      <c r="AU273" s="1102">
        <v>53</v>
      </c>
      <c r="AW273" s="1103">
        <v>46141</v>
      </c>
      <c r="AX273" s="1102" t="s">
        <v>973</v>
      </c>
      <c r="AY273" s="1103">
        <v>46162</v>
      </c>
      <c r="AZ273" s="1102">
        <v>7</v>
      </c>
      <c r="BA273" s="1103">
        <v>46148</v>
      </c>
      <c r="BB273" s="1102">
        <v>2026</v>
      </c>
      <c r="BC273" s="1102">
        <v>5</v>
      </c>
      <c r="BD273" s="1102">
        <v>19</v>
      </c>
      <c r="BE273" s="1102">
        <v>36</v>
      </c>
      <c r="BF273" s="1102">
        <v>864</v>
      </c>
      <c r="BG273" s="1102" t="s">
        <v>85</v>
      </c>
      <c r="BH273" s="1102" t="s">
        <v>109</v>
      </c>
    </row>
    <row r="274" spans="1:60">
      <c r="A274" s="1102" t="s">
        <v>1375</v>
      </c>
      <c r="B274" s="1102" t="s">
        <v>61</v>
      </c>
      <c r="C274" s="1102" t="s">
        <v>1149</v>
      </c>
      <c r="D274" s="1102" t="s">
        <v>63</v>
      </c>
      <c r="E274" s="1102" t="s">
        <v>64</v>
      </c>
      <c r="F274" s="1102" t="s">
        <v>100</v>
      </c>
      <c r="G274" s="1102" t="s">
        <v>402</v>
      </c>
      <c r="H274" s="1102" t="s">
        <v>67</v>
      </c>
      <c r="I274" s="1102" t="s">
        <v>689</v>
      </c>
      <c r="J274" s="1102" t="s">
        <v>1376</v>
      </c>
      <c r="M274" s="1102" t="s">
        <v>68</v>
      </c>
      <c r="N274" s="1102">
        <v>46048</v>
      </c>
      <c r="O274" s="1102" t="s">
        <v>70</v>
      </c>
      <c r="P274" s="1102" t="s">
        <v>1151</v>
      </c>
      <c r="Q274" s="1102" t="s">
        <v>421</v>
      </c>
      <c r="R274" s="1102" t="s">
        <v>73</v>
      </c>
      <c r="S274" s="1102" t="s">
        <v>967</v>
      </c>
      <c r="T274" s="1102">
        <v>505</v>
      </c>
      <c r="U274" s="1102">
        <v>6912</v>
      </c>
      <c r="V274" s="1102">
        <v>3.4905599999999999</v>
      </c>
      <c r="W274" s="1102">
        <v>192</v>
      </c>
      <c r="X274" s="1102">
        <v>8</v>
      </c>
      <c r="Y274" s="1102" t="s">
        <v>75</v>
      </c>
      <c r="Z274" s="1102" t="s">
        <v>75</v>
      </c>
      <c r="AB274" s="1103">
        <v>46083</v>
      </c>
      <c r="AC274" s="1102">
        <v>10</v>
      </c>
      <c r="AD274" s="1102" t="s">
        <v>1377</v>
      </c>
      <c r="AF274" s="1102" t="s">
        <v>77</v>
      </c>
      <c r="AG274" s="1102" t="s">
        <v>61</v>
      </c>
      <c r="AH274" s="1102" t="s">
        <v>105</v>
      </c>
      <c r="AI274" s="1103">
        <v>46088</v>
      </c>
      <c r="AJ274" s="1103">
        <v>46088</v>
      </c>
      <c r="AK274" s="1103">
        <v>46088</v>
      </c>
      <c r="AL274" s="1103">
        <v>46133</v>
      </c>
      <c r="AM274" s="1103">
        <v>46142</v>
      </c>
      <c r="AN274" s="1103">
        <v>46141</v>
      </c>
      <c r="AO274" s="1102" t="s">
        <v>402</v>
      </c>
      <c r="AP274" s="1102" t="s">
        <v>889</v>
      </c>
      <c r="AQ274" s="1102" t="s">
        <v>80</v>
      </c>
      <c r="AR274" s="1102" t="s">
        <v>1378</v>
      </c>
      <c r="AS274" s="1102" t="s">
        <v>1379</v>
      </c>
      <c r="AT274" s="1102" t="s">
        <v>1379</v>
      </c>
      <c r="AU274" s="1102">
        <v>53</v>
      </c>
      <c r="AW274" s="1103">
        <v>46141</v>
      </c>
      <c r="AX274" s="1102" t="s">
        <v>973</v>
      </c>
      <c r="AY274" s="1103">
        <v>46162</v>
      </c>
      <c r="AZ274" s="1102">
        <v>7</v>
      </c>
      <c r="BA274" s="1103">
        <v>46148</v>
      </c>
      <c r="BB274" s="1102">
        <v>2026</v>
      </c>
      <c r="BC274" s="1102">
        <v>5</v>
      </c>
      <c r="BD274" s="1102">
        <v>19</v>
      </c>
      <c r="BE274" s="1102">
        <v>36</v>
      </c>
      <c r="BF274" s="1102">
        <v>864</v>
      </c>
      <c r="BG274" s="1102" t="s">
        <v>85</v>
      </c>
      <c r="BH274" s="1102" t="s">
        <v>109</v>
      </c>
    </row>
    <row r="275" spans="1:60">
      <c r="A275" s="1102" t="s">
        <v>1380</v>
      </c>
      <c r="B275" s="1102" t="s">
        <v>61</v>
      </c>
      <c r="C275" s="1102" t="s">
        <v>1016</v>
      </c>
      <c r="D275" s="1102" t="s">
        <v>63</v>
      </c>
      <c r="E275" s="1102" t="s">
        <v>144</v>
      </c>
      <c r="F275" s="1102" t="s">
        <v>145</v>
      </c>
      <c r="G275" s="1102" t="s">
        <v>402</v>
      </c>
      <c r="H275" s="1102" t="s">
        <v>1381</v>
      </c>
      <c r="I275" s="1102" t="s">
        <v>689</v>
      </c>
      <c r="J275" s="1102" t="s">
        <v>1270</v>
      </c>
      <c r="K275" s="1102" t="s">
        <v>1382</v>
      </c>
      <c r="M275" s="1102" t="s">
        <v>840</v>
      </c>
      <c r="N275" s="1102">
        <v>46076</v>
      </c>
      <c r="O275" s="1102" t="s">
        <v>70</v>
      </c>
      <c r="P275" s="1102" t="s">
        <v>195</v>
      </c>
      <c r="Q275" s="1102" t="s">
        <v>196</v>
      </c>
      <c r="R275" s="1102" t="s">
        <v>73</v>
      </c>
      <c r="S275" s="1102" t="s">
        <v>967</v>
      </c>
      <c r="T275" s="1102">
        <v>450</v>
      </c>
      <c r="U275" s="1102">
        <v>1872</v>
      </c>
      <c r="V275" s="1102">
        <v>0.84240000000000004</v>
      </c>
      <c r="W275" s="1102">
        <v>52</v>
      </c>
      <c r="X275" s="1102">
        <v>2</v>
      </c>
      <c r="Y275" s="1102" t="s">
        <v>75</v>
      </c>
      <c r="Z275" s="1102" t="s">
        <v>75</v>
      </c>
      <c r="AB275" s="1103">
        <v>46082</v>
      </c>
      <c r="AC275" s="1102">
        <v>9</v>
      </c>
      <c r="AD275" s="1102" t="s">
        <v>1383</v>
      </c>
      <c r="AF275" s="1102" t="s">
        <v>77</v>
      </c>
      <c r="AG275" s="1102" t="s">
        <v>61</v>
      </c>
      <c r="AH275" s="1102" t="s">
        <v>105</v>
      </c>
      <c r="AI275" s="1103">
        <v>46088</v>
      </c>
      <c r="AJ275" s="1103">
        <v>46088</v>
      </c>
      <c r="AK275" s="1103">
        <v>46088</v>
      </c>
      <c r="AL275" s="1103">
        <v>46133</v>
      </c>
      <c r="AM275" s="1103">
        <v>46142</v>
      </c>
      <c r="AN275" s="1103">
        <v>46141</v>
      </c>
      <c r="AO275" s="1102" t="s">
        <v>402</v>
      </c>
      <c r="AP275" s="1102" t="s">
        <v>889</v>
      </c>
      <c r="AQ275" s="1102" t="s">
        <v>80</v>
      </c>
      <c r="AR275" s="1102" t="s">
        <v>1384</v>
      </c>
      <c r="AS275" s="1102" t="s">
        <v>1385</v>
      </c>
      <c r="AT275" s="1102" t="s">
        <v>1386</v>
      </c>
      <c r="AU275" s="1102">
        <v>53</v>
      </c>
      <c r="AW275" s="1103">
        <v>46141</v>
      </c>
      <c r="AX275" s="1102" t="s">
        <v>973</v>
      </c>
      <c r="AY275" s="1103">
        <v>46145</v>
      </c>
      <c r="AZ275" s="1102">
        <v>0</v>
      </c>
      <c r="BA275" s="1103">
        <v>46141</v>
      </c>
      <c r="BB275" s="1102">
        <v>2026</v>
      </c>
      <c r="BC275" s="1102">
        <v>4</v>
      </c>
      <c r="BD275" s="1102">
        <v>18</v>
      </c>
      <c r="BE275" s="1102">
        <v>36</v>
      </c>
      <c r="BF275" s="1102">
        <v>936</v>
      </c>
      <c r="BG275" s="1102" t="s">
        <v>85</v>
      </c>
      <c r="BH275" s="1102" t="s">
        <v>109</v>
      </c>
    </row>
    <row r="276" spans="1:60">
      <c r="A276" s="1102" t="s">
        <v>1387</v>
      </c>
      <c r="B276" s="1102" t="s">
        <v>61</v>
      </c>
      <c r="C276" s="1102" t="s">
        <v>1016</v>
      </c>
      <c r="D276" s="1102" t="s">
        <v>63</v>
      </c>
      <c r="E276" s="1102" t="s">
        <v>64</v>
      </c>
      <c r="F276" s="1102" t="s">
        <v>100</v>
      </c>
      <c r="G276" s="1102" t="s">
        <v>402</v>
      </c>
      <c r="H276" s="1102" t="s">
        <v>67</v>
      </c>
      <c r="I276" s="1102" t="s">
        <v>689</v>
      </c>
      <c r="J276" s="1102" t="s">
        <v>1263</v>
      </c>
      <c r="K276" s="1102" t="s">
        <v>1264</v>
      </c>
      <c r="M276" s="1102" t="s">
        <v>840</v>
      </c>
      <c r="N276" s="1102">
        <v>46076</v>
      </c>
      <c r="O276" s="1102" t="s">
        <v>70</v>
      </c>
      <c r="P276" s="1102" t="s">
        <v>195</v>
      </c>
      <c r="Q276" s="1102" t="s">
        <v>196</v>
      </c>
      <c r="R276" s="1102" t="s">
        <v>73</v>
      </c>
      <c r="S276" s="1102" t="s">
        <v>967</v>
      </c>
      <c r="T276" s="1102">
        <v>450</v>
      </c>
      <c r="U276" s="1102">
        <v>2808</v>
      </c>
      <c r="V276" s="1102">
        <v>1.2636000000000001</v>
      </c>
      <c r="W276" s="1102">
        <v>78</v>
      </c>
      <c r="X276" s="1102">
        <v>3</v>
      </c>
      <c r="Y276" s="1102" t="s">
        <v>75</v>
      </c>
      <c r="Z276" s="1102" t="s">
        <v>75</v>
      </c>
      <c r="AB276" s="1103">
        <v>46082</v>
      </c>
      <c r="AC276" s="1102">
        <v>9</v>
      </c>
      <c r="AD276" s="1102" t="s">
        <v>1388</v>
      </c>
      <c r="AF276" s="1102" t="s">
        <v>77</v>
      </c>
      <c r="AG276" s="1102" t="s">
        <v>61</v>
      </c>
      <c r="AH276" s="1102" t="s">
        <v>105</v>
      </c>
      <c r="AI276" s="1103">
        <v>46088</v>
      </c>
      <c r="AJ276" s="1103">
        <v>46088</v>
      </c>
      <c r="AK276" s="1103">
        <v>46088</v>
      </c>
      <c r="AL276" s="1103">
        <v>46133</v>
      </c>
      <c r="AM276" s="1103">
        <v>46142</v>
      </c>
      <c r="AN276" s="1103">
        <v>46141</v>
      </c>
      <c r="AO276" s="1102" t="s">
        <v>402</v>
      </c>
      <c r="AP276" s="1102" t="s">
        <v>889</v>
      </c>
      <c r="AQ276" s="1102" t="s">
        <v>80</v>
      </c>
      <c r="AR276" s="1102" t="s">
        <v>1384</v>
      </c>
      <c r="AS276" s="1102" t="s">
        <v>1386</v>
      </c>
      <c r="AT276" s="1102" t="s">
        <v>1386</v>
      </c>
      <c r="AU276" s="1102">
        <v>53</v>
      </c>
      <c r="AW276" s="1103">
        <v>46141</v>
      </c>
      <c r="AX276" s="1102" t="s">
        <v>973</v>
      </c>
      <c r="AY276" s="1103">
        <v>46153</v>
      </c>
      <c r="AZ276" s="1102">
        <v>7</v>
      </c>
      <c r="BA276" s="1103">
        <v>46148</v>
      </c>
      <c r="BB276" s="1102">
        <v>2026</v>
      </c>
      <c r="BC276" s="1102">
        <v>5</v>
      </c>
      <c r="BD276" s="1102">
        <v>19</v>
      </c>
      <c r="BE276" s="1102">
        <v>36</v>
      </c>
      <c r="BF276" s="1102">
        <v>936</v>
      </c>
      <c r="BG276" s="1102" t="s">
        <v>85</v>
      </c>
      <c r="BH276" s="1102" t="s">
        <v>109</v>
      </c>
    </row>
    <row r="277" spans="1:60">
      <c r="A277" s="1102" t="s">
        <v>1389</v>
      </c>
      <c r="B277" s="1102" t="s">
        <v>61</v>
      </c>
      <c r="C277" s="1102" t="s">
        <v>1016</v>
      </c>
      <c r="D277" s="1102" t="s">
        <v>63</v>
      </c>
      <c r="E277" s="1102" t="s">
        <v>144</v>
      </c>
      <c r="F277" s="1102" t="s">
        <v>145</v>
      </c>
      <c r="G277" s="1102" t="s">
        <v>402</v>
      </c>
      <c r="H277" s="1102" t="s">
        <v>1381</v>
      </c>
      <c r="I277" s="1102" t="s">
        <v>689</v>
      </c>
      <c r="J277" s="1102" t="s">
        <v>1270</v>
      </c>
      <c r="K277" s="1102" t="s">
        <v>1382</v>
      </c>
      <c r="M277" s="1102" t="s">
        <v>840</v>
      </c>
      <c r="N277" s="1102">
        <v>46076</v>
      </c>
      <c r="O277" s="1102" t="s">
        <v>70</v>
      </c>
      <c r="P277" s="1102" t="s">
        <v>195</v>
      </c>
      <c r="Q277" s="1102" t="s">
        <v>196</v>
      </c>
      <c r="R277" s="1102" t="s">
        <v>73</v>
      </c>
      <c r="S277" s="1102" t="s">
        <v>967</v>
      </c>
      <c r="T277" s="1102">
        <v>450</v>
      </c>
      <c r="U277" s="1102">
        <v>4680</v>
      </c>
      <c r="V277" s="1102">
        <v>2.1059999999999999</v>
      </c>
      <c r="W277" s="1102">
        <v>130</v>
      </c>
      <c r="X277" s="1102">
        <v>5</v>
      </c>
      <c r="Y277" s="1102" t="s">
        <v>75</v>
      </c>
      <c r="Z277" s="1102" t="s">
        <v>75</v>
      </c>
      <c r="AB277" s="1103">
        <v>46082</v>
      </c>
      <c r="AC277" s="1102">
        <v>9</v>
      </c>
      <c r="AD277" s="1102" t="s">
        <v>1383</v>
      </c>
      <c r="AF277" s="1102" t="s">
        <v>77</v>
      </c>
      <c r="AG277" s="1102" t="s">
        <v>61</v>
      </c>
      <c r="AH277" s="1102" t="s">
        <v>105</v>
      </c>
      <c r="AI277" s="1103">
        <v>46088</v>
      </c>
      <c r="AJ277" s="1103">
        <v>46088</v>
      </c>
      <c r="AK277" s="1103">
        <v>46088</v>
      </c>
      <c r="AL277" s="1103">
        <v>46133</v>
      </c>
      <c r="AM277" s="1103">
        <v>46142</v>
      </c>
      <c r="AN277" s="1103">
        <v>46141</v>
      </c>
      <c r="AO277" s="1102" t="s">
        <v>402</v>
      </c>
      <c r="AP277" s="1102" t="s">
        <v>889</v>
      </c>
      <c r="AQ277" s="1102" t="s">
        <v>80</v>
      </c>
      <c r="AR277" s="1102" t="s">
        <v>1384</v>
      </c>
      <c r="AS277" s="1102" t="s">
        <v>1385</v>
      </c>
      <c r="AT277" s="1102" t="s">
        <v>1385</v>
      </c>
      <c r="AU277" s="1102">
        <v>53</v>
      </c>
      <c r="AW277" s="1103">
        <v>46141</v>
      </c>
      <c r="AX277" s="1102" t="s">
        <v>973</v>
      </c>
      <c r="AY277" s="1103">
        <v>46145</v>
      </c>
      <c r="AZ277" s="1102">
        <v>0</v>
      </c>
      <c r="BA277" s="1103">
        <v>46141</v>
      </c>
      <c r="BB277" s="1102">
        <v>2026</v>
      </c>
      <c r="BC277" s="1102">
        <v>4</v>
      </c>
      <c r="BD277" s="1102">
        <v>18</v>
      </c>
      <c r="BE277" s="1102">
        <v>36</v>
      </c>
      <c r="BF277" s="1102">
        <v>936</v>
      </c>
      <c r="BG277" s="1102" t="s">
        <v>85</v>
      </c>
      <c r="BH277" s="1102" t="s">
        <v>109</v>
      </c>
    </row>
    <row r="278" spans="1:60">
      <c r="A278" s="1102" t="s">
        <v>1390</v>
      </c>
      <c r="B278" s="1102" t="s">
        <v>61</v>
      </c>
      <c r="C278" s="1102" t="s">
        <v>1176</v>
      </c>
      <c r="D278" s="1102" t="s">
        <v>113</v>
      </c>
      <c r="E278" s="1102" t="s">
        <v>64</v>
      </c>
      <c r="F278" s="1102" t="s">
        <v>65</v>
      </c>
      <c r="G278" s="1102" t="s">
        <v>402</v>
      </c>
      <c r="H278" s="1102" t="s">
        <v>67</v>
      </c>
      <c r="I278" s="1102" t="s">
        <v>822</v>
      </c>
      <c r="J278" s="1102" t="s">
        <v>1177</v>
      </c>
      <c r="M278" s="1102" t="s">
        <v>68</v>
      </c>
      <c r="N278" s="1102">
        <v>46045</v>
      </c>
      <c r="O278" s="1102" t="s">
        <v>713</v>
      </c>
      <c r="P278" s="1102" t="s">
        <v>714</v>
      </c>
      <c r="Q278" s="1102" t="s">
        <v>1173</v>
      </c>
      <c r="R278" s="1102" t="s">
        <v>73</v>
      </c>
      <c r="S278" s="1102" t="s">
        <v>1166</v>
      </c>
      <c r="T278" s="1102">
        <v>625</v>
      </c>
      <c r="U278" s="1102">
        <v>7488</v>
      </c>
      <c r="V278" s="1102">
        <v>4.68</v>
      </c>
      <c r="W278" s="1102">
        <v>208</v>
      </c>
      <c r="X278" s="1102">
        <v>13</v>
      </c>
      <c r="Y278" s="1102" t="s">
        <v>75</v>
      </c>
      <c r="Z278" s="1102" t="s">
        <v>75</v>
      </c>
      <c r="AB278" s="1103">
        <v>46086</v>
      </c>
      <c r="AC278" s="1102">
        <v>10</v>
      </c>
      <c r="AD278" s="1102" t="s">
        <v>1391</v>
      </c>
      <c r="AF278" s="1102" t="s">
        <v>77</v>
      </c>
      <c r="AG278" s="1102" t="s">
        <v>61</v>
      </c>
      <c r="AH278" s="1102" t="s">
        <v>356</v>
      </c>
      <c r="AI278" s="1103">
        <v>46091</v>
      </c>
      <c r="AJ278" s="1103">
        <v>46091</v>
      </c>
      <c r="AK278" s="1103">
        <v>46091</v>
      </c>
      <c r="AL278" s="1103">
        <v>46140</v>
      </c>
      <c r="AM278" s="1103">
        <v>46140</v>
      </c>
      <c r="AN278" s="1103">
        <v>46140</v>
      </c>
      <c r="AO278" s="1102" t="s">
        <v>402</v>
      </c>
      <c r="AP278" s="1102" t="s">
        <v>1392</v>
      </c>
      <c r="AQ278" s="1102" t="s">
        <v>161</v>
      </c>
      <c r="AR278" s="1102" t="s">
        <v>1393</v>
      </c>
      <c r="AS278" s="1102">
        <v>273285388</v>
      </c>
      <c r="AT278" s="1102">
        <v>273285388</v>
      </c>
      <c r="AU278" s="1102">
        <v>49</v>
      </c>
      <c r="AW278" s="1103">
        <v>46140</v>
      </c>
      <c r="AX278" s="1102" t="s">
        <v>973</v>
      </c>
      <c r="AY278" s="1103">
        <v>46152</v>
      </c>
      <c r="AZ278" s="1102">
        <v>8</v>
      </c>
      <c r="BA278" s="1103">
        <v>46148</v>
      </c>
      <c r="BB278" s="1102">
        <v>2026</v>
      </c>
      <c r="BC278" s="1102">
        <v>5</v>
      </c>
      <c r="BD278" s="1102">
        <v>19</v>
      </c>
      <c r="BE278" s="1102">
        <v>36</v>
      </c>
      <c r="BF278" s="1102">
        <v>576</v>
      </c>
      <c r="BG278" s="1102" t="s">
        <v>108</v>
      </c>
      <c r="BH278" s="1102" t="s">
        <v>109</v>
      </c>
    </row>
    <row r="279" spans="1:60">
      <c r="A279" s="1102" t="s">
        <v>1394</v>
      </c>
      <c r="B279" s="1102" t="s">
        <v>61</v>
      </c>
      <c r="C279" s="1102" t="s">
        <v>1149</v>
      </c>
      <c r="D279" s="1102" t="s">
        <v>63</v>
      </c>
      <c r="E279" s="1102" t="s">
        <v>64</v>
      </c>
      <c r="F279" s="1102" t="s">
        <v>65</v>
      </c>
      <c r="G279" s="1102" t="s">
        <v>402</v>
      </c>
      <c r="H279" s="1102" t="s">
        <v>67</v>
      </c>
      <c r="I279" s="1102" t="s">
        <v>1395</v>
      </c>
      <c r="J279" s="1102" t="s">
        <v>96</v>
      </c>
      <c r="M279" s="1102" t="s">
        <v>68</v>
      </c>
      <c r="N279" s="1102">
        <v>46048</v>
      </c>
      <c r="O279" s="1102" t="s">
        <v>70</v>
      </c>
      <c r="P279" s="1102" t="s">
        <v>1151</v>
      </c>
      <c r="Q279" s="1102" t="s">
        <v>421</v>
      </c>
      <c r="R279" s="1102" t="s">
        <v>73</v>
      </c>
      <c r="S279" s="1102" t="s">
        <v>967</v>
      </c>
      <c r="T279" s="1102">
        <v>505</v>
      </c>
      <c r="U279" s="1102">
        <v>4320</v>
      </c>
      <c r="V279" s="1102">
        <v>2.1816</v>
      </c>
      <c r="W279" s="1102">
        <v>120</v>
      </c>
      <c r="X279" s="1102">
        <v>5</v>
      </c>
      <c r="Y279" s="1102" t="s">
        <v>951</v>
      </c>
      <c r="Z279" s="1102" t="s">
        <v>75</v>
      </c>
      <c r="AB279" s="1103">
        <v>46083</v>
      </c>
      <c r="AC279" s="1102">
        <v>10</v>
      </c>
      <c r="AD279" s="1102" t="s">
        <v>1396</v>
      </c>
      <c r="AF279" s="1102" t="s">
        <v>77</v>
      </c>
      <c r="AG279" s="1102" t="s">
        <v>61</v>
      </c>
      <c r="AH279" s="1102" t="s">
        <v>78</v>
      </c>
      <c r="AI279" s="1103">
        <v>46088</v>
      </c>
      <c r="AJ279" s="1103">
        <v>46088</v>
      </c>
      <c r="AK279" s="1103">
        <v>46088</v>
      </c>
      <c r="AL279" s="1103">
        <v>46153</v>
      </c>
      <c r="AM279" s="1103">
        <v>46184</v>
      </c>
      <c r="AN279" s="1103">
        <v>46184</v>
      </c>
      <c r="AO279" s="1102" t="s">
        <v>402</v>
      </c>
      <c r="AP279" s="1102" t="s">
        <v>889</v>
      </c>
      <c r="AQ279" s="1102" t="s">
        <v>80</v>
      </c>
      <c r="AR279" s="1102" t="s">
        <v>1397</v>
      </c>
      <c r="AS279" s="1102" t="s">
        <v>1398</v>
      </c>
      <c r="AT279" s="1102" t="s">
        <v>1398</v>
      </c>
      <c r="AU279" s="1102">
        <v>96</v>
      </c>
      <c r="AW279" s="1103">
        <v>46184</v>
      </c>
      <c r="AX279" s="1102" t="s">
        <v>973</v>
      </c>
      <c r="AY279" s="1103">
        <v>46198</v>
      </c>
      <c r="AZ279" s="1102">
        <v>8</v>
      </c>
      <c r="BA279" s="1103">
        <v>46192</v>
      </c>
      <c r="BB279" s="1102">
        <v>2026</v>
      </c>
      <c r="BC279" s="1102">
        <v>6</v>
      </c>
      <c r="BD279" s="1102">
        <v>25</v>
      </c>
      <c r="BE279" s="1102">
        <v>36</v>
      </c>
      <c r="BF279" s="1102">
        <v>864</v>
      </c>
      <c r="BG279" s="1102" t="s">
        <v>85</v>
      </c>
      <c r="BH279" s="1102" t="s">
        <v>86</v>
      </c>
    </row>
    <row r="280" spans="1:60">
      <c r="A280" s="1102" t="s">
        <v>1399</v>
      </c>
      <c r="B280" s="1102" t="s">
        <v>111</v>
      </c>
      <c r="C280" s="1102" t="s">
        <v>1400</v>
      </c>
      <c r="D280" s="1102" t="s">
        <v>113</v>
      </c>
      <c r="E280" s="1102" t="s">
        <v>144</v>
      </c>
      <c r="F280" s="1102" t="s">
        <v>145</v>
      </c>
      <c r="G280" s="1102" t="s">
        <v>156</v>
      </c>
      <c r="H280" s="1102" t="s">
        <v>68</v>
      </c>
      <c r="I280" s="1102" t="s">
        <v>68</v>
      </c>
      <c r="J280" s="1102" t="s">
        <v>1401</v>
      </c>
      <c r="K280" s="1102" t="s">
        <v>1402</v>
      </c>
      <c r="M280" s="1102" t="s">
        <v>68</v>
      </c>
      <c r="N280" s="1102">
        <v>46076</v>
      </c>
      <c r="O280" s="1102" t="s">
        <v>70</v>
      </c>
      <c r="P280" s="1102" t="s">
        <v>329</v>
      </c>
      <c r="Q280" s="1102" t="s">
        <v>330</v>
      </c>
      <c r="R280" s="1102" t="s">
        <v>331</v>
      </c>
      <c r="S280" s="1102" t="s">
        <v>992</v>
      </c>
      <c r="T280" s="1102">
        <v>625</v>
      </c>
      <c r="U280" s="1102">
        <v>12240</v>
      </c>
      <c r="V280" s="1102">
        <v>7.65</v>
      </c>
      <c r="W280" s="1102">
        <v>340</v>
      </c>
      <c r="X280" s="1102">
        <v>17</v>
      </c>
      <c r="Y280" s="1102" t="s">
        <v>75</v>
      </c>
      <c r="Z280" s="1102" t="s">
        <v>75</v>
      </c>
      <c r="AB280" s="1103">
        <v>46089</v>
      </c>
      <c r="AC280" s="1102">
        <v>10</v>
      </c>
      <c r="AD280" s="1102" t="s">
        <v>1403</v>
      </c>
      <c r="AF280" s="1102" t="s">
        <v>122</v>
      </c>
      <c r="AG280" s="1102" t="s">
        <v>123</v>
      </c>
      <c r="AH280" s="1102" t="s">
        <v>1404</v>
      </c>
      <c r="AI280" s="1103">
        <v>46092</v>
      </c>
      <c r="AJ280" s="1103">
        <v>46098</v>
      </c>
      <c r="AK280" s="1103">
        <v>46098</v>
      </c>
      <c r="AL280" s="1103">
        <v>46146</v>
      </c>
      <c r="AM280" s="1103">
        <v>46160</v>
      </c>
      <c r="AN280" s="1103">
        <v>46158</v>
      </c>
      <c r="AO280" s="1102" t="s">
        <v>156</v>
      </c>
      <c r="AP280" s="1102" t="s">
        <v>1405</v>
      </c>
      <c r="AQ280" s="1102" t="s">
        <v>161</v>
      </c>
      <c r="AR280" s="1102" t="s">
        <v>1406</v>
      </c>
      <c r="AS280" s="1102" t="s">
        <v>1407</v>
      </c>
      <c r="AT280" s="1102" t="s">
        <v>1408</v>
      </c>
      <c r="AU280" s="1102">
        <v>60</v>
      </c>
      <c r="AW280" s="1103">
        <v>46158</v>
      </c>
      <c r="AX280" s="1102" t="s">
        <v>973</v>
      </c>
      <c r="AY280" s="1103">
        <v>46159</v>
      </c>
      <c r="AZ280" s="1102">
        <v>0</v>
      </c>
      <c r="BA280" s="1103">
        <v>46158</v>
      </c>
      <c r="BB280" s="1102">
        <v>2026</v>
      </c>
      <c r="BC280" s="1102">
        <v>5</v>
      </c>
      <c r="BD280" s="1102">
        <v>20</v>
      </c>
      <c r="BE280" s="1102">
        <v>36</v>
      </c>
      <c r="BF280" s="1102">
        <v>720</v>
      </c>
      <c r="BG280" s="1102" t="s">
        <v>128</v>
      </c>
      <c r="BH280" s="1102" t="s">
        <v>68</v>
      </c>
    </row>
    <row r="281" spans="1:60">
      <c r="A281" s="1102" t="s">
        <v>1409</v>
      </c>
      <c r="B281" s="1102" t="s">
        <v>111</v>
      </c>
      <c r="C281" s="1102" t="s">
        <v>1410</v>
      </c>
      <c r="D281" s="1102" t="s">
        <v>113</v>
      </c>
      <c r="E281" s="1102" t="s">
        <v>144</v>
      </c>
      <c r="F281" s="1102" t="s">
        <v>145</v>
      </c>
      <c r="G281" s="1102" t="s">
        <v>156</v>
      </c>
      <c r="H281" s="1102" t="s">
        <v>68</v>
      </c>
      <c r="I281" s="1102" t="s">
        <v>68</v>
      </c>
      <c r="J281" s="1102" t="s">
        <v>1401</v>
      </c>
      <c r="K281" s="1102" t="s">
        <v>1402</v>
      </c>
      <c r="M281" s="1102" t="s">
        <v>68</v>
      </c>
      <c r="N281" s="1102">
        <v>46076</v>
      </c>
      <c r="O281" s="1102" t="s">
        <v>70</v>
      </c>
      <c r="P281" s="1102" t="s">
        <v>585</v>
      </c>
      <c r="Q281" s="1102" t="s">
        <v>103</v>
      </c>
      <c r="R281" s="1102" t="s">
        <v>331</v>
      </c>
      <c r="S281" s="1102" t="s">
        <v>992</v>
      </c>
      <c r="T281" s="1102">
        <v>620</v>
      </c>
      <c r="U281" s="1102">
        <v>12240</v>
      </c>
      <c r="V281" s="1102">
        <v>7.5888</v>
      </c>
      <c r="W281" s="1102">
        <v>340</v>
      </c>
      <c r="X281" s="1102">
        <v>17</v>
      </c>
      <c r="Y281" s="1102" t="s">
        <v>75</v>
      </c>
      <c r="Z281" s="1102" t="s">
        <v>75</v>
      </c>
      <c r="AB281" s="1103">
        <v>46087</v>
      </c>
      <c r="AC281" s="1102">
        <v>10</v>
      </c>
      <c r="AD281" s="1102" t="s">
        <v>1411</v>
      </c>
      <c r="AF281" s="1102" t="s">
        <v>122</v>
      </c>
      <c r="AG281" s="1102" t="s">
        <v>123</v>
      </c>
      <c r="AH281" s="1102" t="s">
        <v>1404</v>
      </c>
      <c r="AI281" s="1103">
        <v>46092</v>
      </c>
      <c r="AJ281" s="1103">
        <v>46098</v>
      </c>
      <c r="AK281" s="1103">
        <v>46098</v>
      </c>
      <c r="AL281" s="1103">
        <v>46146</v>
      </c>
      <c r="AM281" s="1103">
        <v>46160</v>
      </c>
      <c r="AN281" s="1103">
        <v>46160</v>
      </c>
      <c r="AO281" s="1102" t="s">
        <v>156</v>
      </c>
      <c r="AP281" s="1102" t="s">
        <v>1405</v>
      </c>
      <c r="AQ281" s="1102" t="s">
        <v>161</v>
      </c>
      <c r="AR281" s="1102" t="s">
        <v>1412</v>
      </c>
      <c r="AS281" s="1102" t="s">
        <v>1413</v>
      </c>
      <c r="AT281" s="1102" t="s">
        <v>1414</v>
      </c>
      <c r="AU281" s="1102">
        <v>62</v>
      </c>
      <c r="AW281" s="1103">
        <v>46160</v>
      </c>
      <c r="AX281" s="1102" t="s">
        <v>973</v>
      </c>
      <c r="AY281" s="1103">
        <v>46159</v>
      </c>
      <c r="AZ281" s="1102">
        <v>0</v>
      </c>
      <c r="BA281" s="1103">
        <v>46160</v>
      </c>
      <c r="BB281" s="1102">
        <v>2026</v>
      </c>
      <c r="BC281" s="1102">
        <v>5</v>
      </c>
      <c r="BD281" s="1102">
        <v>21</v>
      </c>
      <c r="BE281" s="1102">
        <v>36</v>
      </c>
      <c r="BF281" s="1102">
        <v>720</v>
      </c>
      <c r="BG281" s="1102" t="s">
        <v>128</v>
      </c>
      <c r="BH281" s="1102" t="s">
        <v>68</v>
      </c>
    </row>
    <row r="282" spans="1:60">
      <c r="A282" s="1102" t="s">
        <v>1415</v>
      </c>
      <c r="B282" s="1102" t="s">
        <v>111</v>
      </c>
      <c r="C282" s="1102" t="s">
        <v>1400</v>
      </c>
      <c r="D282" s="1102" t="s">
        <v>113</v>
      </c>
      <c r="E282" s="1102" t="s">
        <v>144</v>
      </c>
      <c r="F282" s="1102" t="s">
        <v>145</v>
      </c>
      <c r="G282" s="1102" t="s">
        <v>156</v>
      </c>
      <c r="H282" s="1102" t="s">
        <v>68</v>
      </c>
      <c r="I282" s="1102" t="s">
        <v>68</v>
      </c>
      <c r="J282" s="1102" t="s">
        <v>1401</v>
      </c>
      <c r="K282" s="1102" t="s">
        <v>1402</v>
      </c>
      <c r="M282" s="1102" t="s">
        <v>68</v>
      </c>
      <c r="N282" s="1102">
        <v>46076</v>
      </c>
      <c r="O282" s="1102" t="s">
        <v>70</v>
      </c>
      <c r="P282" s="1102" t="s">
        <v>329</v>
      </c>
      <c r="Q282" s="1102" t="s">
        <v>330</v>
      </c>
      <c r="R282" s="1102" t="s">
        <v>331</v>
      </c>
      <c r="S282" s="1102" t="s">
        <v>992</v>
      </c>
      <c r="T282" s="1102">
        <v>625</v>
      </c>
      <c r="U282" s="1102">
        <v>12240</v>
      </c>
      <c r="V282" s="1102">
        <v>7.65</v>
      </c>
      <c r="W282" s="1102">
        <v>340</v>
      </c>
      <c r="X282" s="1102">
        <v>17</v>
      </c>
      <c r="Y282" s="1102" t="s">
        <v>75</v>
      </c>
      <c r="Z282" s="1102" t="s">
        <v>75</v>
      </c>
      <c r="AB282" s="1103">
        <v>46094</v>
      </c>
      <c r="AC282" s="1102">
        <v>11</v>
      </c>
      <c r="AD282" s="1102" t="s">
        <v>1416</v>
      </c>
      <c r="AF282" s="1102" t="s">
        <v>122</v>
      </c>
      <c r="AG282" s="1102" t="s">
        <v>123</v>
      </c>
      <c r="AH282" s="1102" t="s">
        <v>1404</v>
      </c>
      <c r="AI282" s="1103">
        <v>46099</v>
      </c>
      <c r="AJ282" s="1103">
        <v>46101</v>
      </c>
      <c r="AK282" s="1103">
        <v>46105</v>
      </c>
      <c r="AL282" s="1103">
        <v>46154</v>
      </c>
      <c r="AM282" s="1103">
        <v>46172</v>
      </c>
      <c r="AN282" s="1103">
        <v>46172</v>
      </c>
      <c r="AO282" s="1102" t="s">
        <v>156</v>
      </c>
      <c r="AP282" s="1102" t="s">
        <v>1417</v>
      </c>
      <c r="AQ282" s="1102" t="s">
        <v>161</v>
      </c>
      <c r="AR282" s="1102" t="s">
        <v>1418</v>
      </c>
      <c r="AS282" s="1102" t="s">
        <v>1419</v>
      </c>
      <c r="AT282" s="1102" t="s">
        <v>1420</v>
      </c>
      <c r="AU282" s="1102">
        <v>67</v>
      </c>
      <c r="AW282" s="1103">
        <v>46172</v>
      </c>
      <c r="AX282" s="1102" t="s">
        <v>973</v>
      </c>
      <c r="AY282" s="1103">
        <v>46167</v>
      </c>
      <c r="AZ282" s="1102">
        <v>0</v>
      </c>
      <c r="BA282" s="1103">
        <v>46172</v>
      </c>
      <c r="BB282" s="1102">
        <v>2026</v>
      </c>
      <c r="BC282" s="1102">
        <v>5</v>
      </c>
      <c r="BD282" s="1102">
        <v>22</v>
      </c>
      <c r="BE282" s="1102">
        <v>36</v>
      </c>
      <c r="BF282" s="1102">
        <v>720</v>
      </c>
      <c r="BG282" s="1102" t="s">
        <v>128</v>
      </c>
      <c r="BH282" s="1102" t="s">
        <v>68</v>
      </c>
    </row>
    <row r="283" spans="1:60">
      <c r="A283" s="1102" t="s">
        <v>1421</v>
      </c>
      <c r="B283" s="1102" t="s">
        <v>111</v>
      </c>
      <c r="C283" s="1102" t="s">
        <v>1410</v>
      </c>
      <c r="D283" s="1102" t="s">
        <v>113</v>
      </c>
      <c r="E283" s="1102" t="s">
        <v>144</v>
      </c>
      <c r="F283" s="1102" t="s">
        <v>145</v>
      </c>
      <c r="G283" s="1102" t="s">
        <v>156</v>
      </c>
      <c r="H283" s="1102" t="s">
        <v>68</v>
      </c>
      <c r="I283" s="1102" t="s">
        <v>68</v>
      </c>
      <c r="J283" s="1102" t="s">
        <v>1401</v>
      </c>
      <c r="K283" s="1102" t="s">
        <v>1402</v>
      </c>
      <c r="M283" s="1102" t="s">
        <v>68</v>
      </c>
      <c r="N283" s="1102">
        <v>46076</v>
      </c>
      <c r="O283" s="1102" t="s">
        <v>70</v>
      </c>
      <c r="P283" s="1102" t="s">
        <v>585</v>
      </c>
      <c r="Q283" s="1102" t="s">
        <v>103</v>
      </c>
      <c r="R283" s="1102" t="s">
        <v>331</v>
      </c>
      <c r="S283" s="1102" t="s">
        <v>992</v>
      </c>
      <c r="T283" s="1102">
        <v>620</v>
      </c>
      <c r="U283" s="1102">
        <v>12240</v>
      </c>
      <c r="V283" s="1102">
        <v>7.5888</v>
      </c>
      <c r="W283" s="1102">
        <v>340</v>
      </c>
      <c r="X283" s="1102">
        <v>17</v>
      </c>
      <c r="Y283" s="1102" t="s">
        <v>75</v>
      </c>
      <c r="Z283" s="1102" t="s">
        <v>75</v>
      </c>
      <c r="AB283" s="1103">
        <v>46095</v>
      </c>
      <c r="AC283" s="1102">
        <v>11</v>
      </c>
      <c r="AD283" s="1102" t="s">
        <v>1422</v>
      </c>
      <c r="AF283" s="1102" t="s">
        <v>122</v>
      </c>
      <c r="AG283" s="1102" t="s">
        <v>123</v>
      </c>
      <c r="AH283" s="1102" t="s">
        <v>1404</v>
      </c>
      <c r="AI283" s="1103">
        <v>46099</v>
      </c>
      <c r="AJ283" s="1103">
        <v>46101</v>
      </c>
      <c r="AK283" s="1103">
        <v>46105</v>
      </c>
      <c r="AL283" s="1103">
        <v>46154</v>
      </c>
      <c r="AM283" s="1103">
        <v>46172</v>
      </c>
      <c r="AN283" s="1103">
        <v>46172</v>
      </c>
      <c r="AO283" s="1102" t="s">
        <v>156</v>
      </c>
      <c r="AP283" s="1102" t="s">
        <v>1417</v>
      </c>
      <c r="AQ283" s="1102" t="s">
        <v>161</v>
      </c>
      <c r="AR283" s="1102" t="s">
        <v>1423</v>
      </c>
      <c r="AS283" s="1102" t="s">
        <v>1424</v>
      </c>
      <c r="AT283" s="1102" t="s">
        <v>1425</v>
      </c>
      <c r="AU283" s="1102">
        <v>67</v>
      </c>
      <c r="AW283" s="1103">
        <v>46172</v>
      </c>
      <c r="AX283" s="1102" t="s">
        <v>973</v>
      </c>
      <c r="AY283" s="1103">
        <v>46167</v>
      </c>
      <c r="AZ283" s="1102">
        <v>0</v>
      </c>
      <c r="BA283" s="1103">
        <v>46172</v>
      </c>
      <c r="BB283" s="1102">
        <v>2026</v>
      </c>
      <c r="BC283" s="1102">
        <v>5</v>
      </c>
      <c r="BD283" s="1102">
        <v>22</v>
      </c>
      <c r="BE283" s="1102">
        <v>36</v>
      </c>
      <c r="BF283" s="1102">
        <v>720</v>
      </c>
      <c r="BG283" s="1102" t="s">
        <v>128</v>
      </c>
      <c r="BH283" s="1102" t="s">
        <v>68</v>
      </c>
    </row>
    <row r="284" spans="1:60">
      <c r="A284" s="1102" t="s">
        <v>1426</v>
      </c>
      <c r="B284" s="1102" t="s">
        <v>111</v>
      </c>
      <c r="C284" s="1102" t="s">
        <v>1427</v>
      </c>
      <c r="D284" s="1102" t="s">
        <v>113</v>
      </c>
      <c r="E284" s="1102" t="s">
        <v>64</v>
      </c>
      <c r="F284" s="1102" t="s">
        <v>65</v>
      </c>
      <c r="G284" s="1102" t="s">
        <v>402</v>
      </c>
      <c r="H284" s="1102" t="s">
        <v>67</v>
      </c>
      <c r="I284" s="1102" t="s">
        <v>822</v>
      </c>
      <c r="J284" s="1102" t="s">
        <v>1428</v>
      </c>
      <c r="K284" s="1102" t="s">
        <v>328</v>
      </c>
      <c r="M284" s="1102" t="s">
        <v>68</v>
      </c>
      <c r="N284" s="1102">
        <v>46045</v>
      </c>
      <c r="O284" s="1102" t="s">
        <v>713</v>
      </c>
      <c r="P284" s="1102" t="s">
        <v>1429</v>
      </c>
      <c r="Q284" s="1102" t="s">
        <v>1430</v>
      </c>
      <c r="R284" s="1102" t="s">
        <v>73</v>
      </c>
      <c r="S284" s="1102" t="s">
        <v>1187</v>
      </c>
      <c r="T284" s="1102">
        <v>620</v>
      </c>
      <c r="U284" s="1102">
        <v>4248</v>
      </c>
      <c r="V284" s="1102">
        <v>2.6337600000000001</v>
      </c>
      <c r="W284" s="1102">
        <v>118</v>
      </c>
      <c r="X284" s="1102">
        <v>5.9</v>
      </c>
      <c r="Y284" s="1102" t="s">
        <v>75</v>
      </c>
      <c r="Z284" s="1102" t="s">
        <v>75</v>
      </c>
      <c r="AB284" s="1103">
        <v>46087</v>
      </c>
      <c r="AC284" s="1102">
        <v>10</v>
      </c>
      <c r="AD284" s="1102" t="s">
        <v>1431</v>
      </c>
      <c r="AF284" s="1102" t="s">
        <v>122</v>
      </c>
      <c r="AG284" s="1102" t="s">
        <v>123</v>
      </c>
      <c r="AH284" s="1102" t="s">
        <v>356</v>
      </c>
      <c r="AI284" s="1103">
        <v>46096</v>
      </c>
      <c r="AJ284" s="1103">
        <v>46103</v>
      </c>
      <c r="AK284" s="1103">
        <v>46101</v>
      </c>
      <c r="AL284" s="1103">
        <v>46133</v>
      </c>
      <c r="AM284" s="1103">
        <v>46139</v>
      </c>
      <c r="AN284" s="1103">
        <v>46141</v>
      </c>
      <c r="AO284" s="1102" t="s">
        <v>402</v>
      </c>
      <c r="AP284" s="1102" t="s">
        <v>1432</v>
      </c>
      <c r="AQ284" s="1102" t="s">
        <v>161</v>
      </c>
      <c r="AR284" s="1102" t="s">
        <v>1433</v>
      </c>
      <c r="AS284" s="1102" t="s">
        <v>1434</v>
      </c>
      <c r="AT284" s="1102" t="s">
        <v>1434</v>
      </c>
      <c r="AU284" s="1102">
        <v>40</v>
      </c>
      <c r="AW284" s="1103">
        <v>46141</v>
      </c>
      <c r="AX284" s="1102" t="s">
        <v>973</v>
      </c>
      <c r="AY284" s="1103">
        <v>46152</v>
      </c>
      <c r="AZ284" s="1102">
        <v>8</v>
      </c>
      <c r="BA284" s="1103">
        <v>46149</v>
      </c>
      <c r="BB284" s="1102">
        <v>2026</v>
      </c>
      <c r="BC284" s="1102">
        <v>5</v>
      </c>
      <c r="BD284" s="1102">
        <v>19</v>
      </c>
      <c r="BE284" s="1102">
        <v>36</v>
      </c>
      <c r="BF284" s="1102">
        <v>720</v>
      </c>
      <c r="BG284" s="1102" t="s">
        <v>108</v>
      </c>
      <c r="BH284" s="1102" t="s">
        <v>109</v>
      </c>
    </row>
    <row r="285" spans="1:60">
      <c r="A285" s="1102" t="s">
        <v>1435</v>
      </c>
      <c r="B285" s="1102" t="s">
        <v>111</v>
      </c>
      <c r="C285" s="1102" t="s">
        <v>1427</v>
      </c>
      <c r="D285" s="1102" t="s">
        <v>113</v>
      </c>
      <c r="E285" s="1102" t="s">
        <v>64</v>
      </c>
      <c r="F285" s="1102" t="s">
        <v>65</v>
      </c>
      <c r="G285" s="1102" t="s">
        <v>402</v>
      </c>
      <c r="H285" s="1102" t="s">
        <v>67</v>
      </c>
      <c r="I285" s="1102" t="s">
        <v>822</v>
      </c>
      <c r="J285" s="1102" t="s">
        <v>1428</v>
      </c>
      <c r="K285" s="1102" t="s">
        <v>328</v>
      </c>
      <c r="M285" s="1102" t="s">
        <v>68</v>
      </c>
      <c r="N285" s="1102">
        <v>46045</v>
      </c>
      <c r="O285" s="1102" t="s">
        <v>713</v>
      </c>
      <c r="P285" s="1102" t="s">
        <v>1429</v>
      </c>
      <c r="Q285" s="1102" t="s">
        <v>1430</v>
      </c>
      <c r="R285" s="1102" t="s">
        <v>73</v>
      </c>
      <c r="S285" s="1102" t="s">
        <v>1187</v>
      </c>
      <c r="T285" s="1102">
        <v>620</v>
      </c>
      <c r="U285" s="1102">
        <v>3960</v>
      </c>
      <c r="V285" s="1102">
        <v>2.4552</v>
      </c>
      <c r="W285" s="1102">
        <v>110</v>
      </c>
      <c r="X285" s="1102">
        <v>5.5</v>
      </c>
      <c r="Y285" s="1102" t="s">
        <v>75</v>
      </c>
      <c r="Z285" s="1102" t="s">
        <v>75</v>
      </c>
      <c r="AB285" s="1103">
        <v>46087</v>
      </c>
      <c r="AC285" s="1102">
        <v>10</v>
      </c>
      <c r="AD285" s="1102" t="s">
        <v>1436</v>
      </c>
      <c r="AF285" s="1102" t="s">
        <v>122</v>
      </c>
      <c r="AG285" s="1102" t="s">
        <v>123</v>
      </c>
      <c r="AH285" s="1102" t="s">
        <v>356</v>
      </c>
      <c r="AI285" s="1103">
        <v>46096</v>
      </c>
      <c r="AJ285" s="1103">
        <v>46103</v>
      </c>
      <c r="AK285" s="1103">
        <v>46101</v>
      </c>
      <c r="AL285" s="1103">
        <v>46133</v>
      </c>
      <c r="AM285" s="1103">
        <v>46139</v>
      </c>
      <c r="AN285" s="1103">
        <v>46141</v>
      </c>
      <c r="AO285" s="1102" t="s">
        <v>402</v>
      </c>
      <c r="AP285" s="1102" t="s">
        <v>1432</v>
      </c>
      <c r="AQ285" s="1102" t="s">
        <v>161</v>
      </c>
      <c r="AR285" s="1102" t="s">
        <v>1433</v>
      </c>
      <c r="AS285" s="1102" t="s">
        <v>1434</v>
      </c>
      <c r="AT285" s="1102" t="s">
        <v>1434</v>
      </c>
      <c r="AU285" s="1102">
        <v>40</v>
      </c>
      <c r="AW285" s="1103">
        <v>46141</v>
      </c>
      <c r="AX285" s="1102" t="s">
        <v>973</v>
      </c>
      <c r="AY285" s="1103">
        <v>46152</v>
      </c>
      <c r="AZ285" s="1102">
        <v>8</v>
      </c>
      <c r="BA285" s="1103">
        <v>46149</v>
      </c>
      <c r="BB285" s="1102">
        <v>2026</v>
      </c>
      <c r="BC285" s="1102">
        <v>5</v>
      </c>
      <c r="BD285" s="1102">
        <v>19</v>
      </c>
      <c r="BE285" s="1102">
        <v>36</v>
      </c>
      <c r="BF285" s="1102">
        <v>720</v>
      </c>
      <c r="BG285" s="1102" t="s">
        <v>108</v>
      </c>
      <c r="BH285" s="1102" t="s">
        <v>109</v>
      </c>
    </row>
    <row r="286" spans="1:60">
      <c r="A286" s="1102" t="s">
        <v>1437</v>
      </c>
      <c r="B286" s="1102" t="s">
        <v>111</v>
      </c>
      <c r="C286" s="1102" t="s">
        <v>1183</v>
      </c>
      <c r="D286" s="1102" t="s">
        <v>113</v>
      </c>
      <c r="E286" s="1102" t="s">
        <v>64</v>
      </c>
      <c r="F286" s="1102" t="s">
        <v>65</v>
      </c>
      <c r="G286" s="1102" t="s">
        <v>402</v>
      </c>
      <c r="H286" s="1102" t="s">
        <v>67</v>
      </c>
      <c r="I286" s="1102" t="s">
        <v>822</v>
      </c>
      <c r="J286" s="1102" t="s">
        <v>1184</v>
      </c>
      <c r="K286" s="1102" t="s">
        <v>328</v>
      </c>
      <c r="M286" s="1102" t="s">
        <v>68</v>
      </c>
      <c r="N286" s="1102">
        <v>46045</v>
      </c>
      <c r="O286" s="1102" t="s">
        <v>713</v>
      </c>
      <c r="P286" s="1102" t="s">
        <v>1185</v>
      </c>
      <c r="Q286" s="1102" t="s">
        <v>1186</v>
      </c>
      <c r="R286" s="1102" t="s">
        <v>73</v>
      </c>
      <c r="S286" s="1102" t="s">
        <v>1187</v>
      </c>
      <c r="T286" s="1102">
        <v>615</v>
      </c>
      <c r="U286" s="1102">
        <v>3240</v>
      </c>
      <c r="V286" s="1102">
        <v>1.9925999999999999</v>
      </c>
      <c r="W286" s="1102">
        <v>90</v>
      </c>
      <c r="X286" s="1102">
        <v>4.5</v>
      </c>
      <c r="Y286" s="1102" t="s">
        <v>75</v>
      </c>
      <c r="Z286" s="1102" t="s">
        <v>75</v>
      </c>
      <c r="AB286" s="1103">
        <v>46087</v>
      </c>
      <c r="AC286" s="1102">
        <v>10</v>
      </c>
      <c r="AD286" s="1102" t="s">
        <v>1438</v>
      </c>
      <c r="AF286" s="1102" t="s">
        <v>122</v>
      </c>
      <c r="AG286" s="1102" t="s">
        <v>123</v>
      </c>
      <c r="AH286" s="1102" t="s">
        <v>356</v>
      </c>
      <c r="AI286" s="1103">
        <v>46096</v>
      </c>
      <c r="AJ286" s="1103">
        <v>46103</v>
      </c>
      <c r="AK286" s="1103">
        <v>46101</v>
      </c>
      <c r="AL286" s="1103">
        <v>46133</v>
      </c>
      <c r="AM286" s="1103">
        <v>46139</v>
      </c>
      <c r="AN286" s="1103">
        <v>46141</v>
      </c>
      <c r="AO286" s="1102" t="s">
        <v>402</v>
      </c>
      <c r="AP286" s="1102" t="s">
        <v>1432</v>
      </c>
      <c r="AQ286" s="1102" t="s">
        <v>161</v>
      </c>
      <c r="AR286" s="1102" t="s">
        <v>1433</v>
      </c>
      <c r="AS286" s="1102" t="s">
        <v>1434</v>
      </c>
      <c r="AT286" s="1102" t="s">
        <v>1434</v>
      </c>
      <c r="AU286" s="1102">
        <v>40</v>
      </c>
      <c r="AW286" s="1103">
        <v>46141</v>
      </c>
      <c r="AX286" s="1102" t="s">
        <v>973</v>
      </c>
      <c r="AY286" s="1103">
        <v>46152</v>
      </c>
      <c r="AZ286" s="1102">
        <v>8</v>
      </c>
      <c r="BA286" s="1103">
        <v>46149</v>
      </c>
      <c r="BB286" s="1102">
        <v>2026</v>
      </c>
      <c r="BC286" s="1102">
        <v>5</v>
      </c>
      <c r="BD286" s="1102">
        <v>19</v>
      </c>
      <c r="BE286" s="1102">
        <v>36</v>
      </c>
      <c r="BF286" s="1102">
        <v>720</v>
      </c>
      <c r="BG286" s="1102" t="s">
        <v>108</v>
      </c>
      <c r="BH286" s="1102" t="s">
        <v>109</v>
      </c>
    </row>
    <row r="287" spans="1:60">
      <c r="A287" s="1102" t="s">
        <v>1439</v>
      </c>
      <c r="B287" s="1102" t="s">
        <v>111</v>
      </c>
      <c r="C287" s="1102" t="s">
        <v>203</v>
      </c>
      <c r="D287" s="1102" t="s">
        <v>113</v>
      </c>
      <c r="E287" s="1102" t="s">
        <v>64</v>
      </c>
      <c r="F287" s="1102" t="s">
        <v>100</v>
      </c>
      <c r="G287" s="1102" t="s">
        <v>402</v>
      </c>
      <c r="H287" s="1102" t="s">
        <v>67</v>
      </c>
      <c r="I287" s="1102" t="s">
        <v>689</v>
      </c>
      <c r="J287" s="1102" t="s">
        <v>1440</v>
      </c>
      <c r="M287" s="1102" t="s">
        <v>68</v>
      </c>
      <c r="N287" s="1102">
        <v>46045</v>
      </c>
      <c r="O287" s="1102" t="s">
        <v>713</v>
      </c>
      <c r="P287" s="1102" t="s">
        <v>1185</v>
      </c>
      <c r="Q287" s="1102" t="s">
        <v>1186</v>
      </c>
      <c r="R287" s="1102" t="s">
        <v>73</v>
      </c>
      <c r="S287" s="1102" t="s">
        <v>1187</v>
      </c>
      <c r="T287" s="1102">
        <v>615</v>
      </c>
      <c r="U287" s="1102">
        <v>3852</v>
      </c>
      <c r="V287" s="1102">
        <v>2.3689800000000001</v>
      </c>
      <c r="W287" s="1102">
        <v>107</v>
      </c>
      <c r="X287" s="1102">
        <v>5.35</v>
      </c>
      <c r="Y287" s="1102" t="s">
        <v>75</v>
      </c>
      <c r="Z287" s="1102" t="s">
        <v>75</v>
      </c>
      <c r="AB287" s="1103">
        <v>46085</v>
      </c>
      <c r="AC287" s="1102">
        <v>10</v>
      </c>
      <c r="AD287" s="1102" t="s">
        <v>1441</v>
      </c>
      <c r="AF287" s="1102" t="s">
        <v>122</v>
      </c>
      <c r="AG287" s="1102" t="s">
        <v>123</v>
      </c>
      <c r="AH287" s="1102" t="s">
        <v>105</v>
      </c>
      <c r="AI287" s="1103">
        <v>46096</v>
      </c>
      <c r="AJ287" s="1103">
        <v>46103</v>
      </c>
      <c r="AK287" s="1103">
        <v>46103</v>
      </c>
      <c r="AL287" s="1103">
        <v>46133</v>
      </c>
      <c r="AM287" s="1103">
        <v>46150</v>
      </c>
      <c r="AN287" s="1103">
        <v>46148</v>
      </c>
      <c r="AO287" s="1102" t="s">
        <v>402</v>
      </c>
      <c r="AP287" s="1102" t="s">
        <v>889</v>
      </c>
      <c r="AQ287" s="1102" t="s">
        <v>80</v>
      </c>
      <c r="AR287" s="1102" t="s">
        <v>1442</v>
      </c>
      <c r="AS287" s="1102" t="s">
        <v>1443</v>
      </c>
      <c r="AT287" s="1102" t="s">
        <v>1443</v>
      </c>
      <c r="AU287" s="1102">
        <v>45</v>
      </c>
      <c r="AW287" s="1103">
        <v>46148</v>
      </c>
      <c r="AX287" s="1102" t="s">
        <v>973</v>
      </c>
      <c r="AY287" s="1103">
        <v>46163</v>
      </c>
      <c r="AZ287" s="1102">
        <v>7</v>
      </c>
      <c r="BA287" s="1103">
        <v>46155</v>
      </c>
      <c r="BB287" s="1102">
        <v>2026</v>
      </c>
      <c r="BC287" s="1102">
        <v>5</v>
      </c>
      <c r="BD287" s="1102">
        <v>20</v>
      </c>
      <c r="BE287" s="1102">
        <v>36</v>
      </c>
      <c r="BF287" s="1102">
        <v>720</v>
      </c>
      <c r="BG287" s="1102" t="s">
        <v>108</v>
      </c>
      <c r="BH287" s="1102" t="s">
        <v>109</v>
      </c>
    </row>
    <row r="288" spans="1:60">
      <c r="A288" s="1102" t="s">
        <v>1444</v>
      </c>
      <c r="B288" s="1102" t="s">
        <v>111</v>
      </c>
      <c r="C288" s="1102" t="s">
        <v>1445</v>
      </c>
      <c r="D288" s="1102" t="s">
        <v>113</v>
      </c>
      <c r="E288" s="1102" t="s">
        <v>64</v>
      </c>
      <c r="F288" s="1102" t="s">
        <v>100</v>
      </c>
      <c r="G288" s="1102" t="s">
        <v>402</v>
      </c>
      <c r="H288" s="1102" t="s">
        <v>67</v>
      </c>
      <c r="I288" s="1102" t="s">
        <v>689</v>
      </c>
      <c r="J288" s="1102" t="s">
        <v>1446</v>
      </c>
      <c r="M288" s="1102" t="s">
        <v>68</v>
      </c>
      <c r="N288" s="1102">
        <v>46045</v>
      </c>
      <c r="O288" s="1102" t="s">
        <v>713</v>
      </c>
      <c r="P288" s="1102" t="s">
        <v>1429</v>
      </c>
      <c r="Q288" s="1102" t="s">
        <v>1430</v>
      </c>
      <c r="R288" s="1102" t="s">
        <v>73</v>
      </c>
      <c r="S288" s="1102" t="s">
        <v>1187</v>
      </c>
      <c r="T288" s="1102">
        <v>620</v>
      </c>
      <c r="U288" s="1102">
        <v>3348</v>
      </c>
      <c r="V288" s="1102">
        <v>2.0757599999999998</v>
      </c>
      <c r="W288" s="1102">
        <v>93</v>
      </c>
      <c r="X288" s="1102">
        <v>4.6500000000000004</v>
      </c>
      <c r="Y288" s="1102" t="s">
        <v>75</v>
      </c>
      <c r="Z288" s="1102" t="s">
        <v>75</v>
      </c>
      <c r="AB288" s="1103">
        <v>46085</v>
      </c>
      <c r="AC288" s="1102">
        <v>10</v>
      </c>
      <c r="AD288" s="1102" t="s">
        <v>1447</v>
      </c>
      <c r="AF288" s="1102" t="s">
        <v>122</v>
      </c>
      <c r="AG288" s="1102" t="s">
        <v>123</v>
      </c>
      <c r="AH288" s="1102" t="s">
        <v>105</v>
      </c>
      <c r="AI288" s="1103">
        <v>46096</v>
      </c>
      <c r="AJ288" s="1103">
        <v>46103</v>
      </c>
      <c r="AK288" s="1103">
        <v>46103</v>
      </c>
      <c r="AL288" s="1103">
        <v>46133</v>
      </c>
      <c r="AM288" s="1103">
        <v>46150</v>
      </c>
      <c r="AN288" s="1103">
        <v>46148</v>
      </c>
      <c r="AO288" s="1102" t="s">
        <v>402</v>
      </c>
      <c r="AP288" s="1102" t="s">
        <v>889</v>
      </c>
      <c r="AQ288" s="1102" t="s">
        <v>80</v>
      </c>
      <c r="AR288" s="1102" t="s">
        <v>1442</v>
      </c>
      <c r="AS288" s="1102" t="s">
        <v>1443</v>
      </c>
      <c r="AT288" s="1102" t="s">
        <v>1443</v>
      </c>
      <c r="AU288" s="1102">
        <v>45</v>
      </c>
      <c r="AW288" s="1103">
        <v>46148</v>
      </c>
      <c r="AX288" s="1102" t="s">
        <v>973</v>
      </c>
      <c r="AY288" s="1103">
        <v>46163</v>
      </c>
      <c r="AZ288" s="1102">
        <v>7</v>
      </c>
      <c r="BA288" s="1103">
        <v>46155</v>
      </c>
      <c r="BB288" s="1102">
        <v>2026</v>
      </c>
      <c r="BC288" s="1102">
        <v>5</v>
      </c>
      <c r="BD288" s="1102">
        <v>20</v>
      </c>
      <c r="BE288" s="1102">
        <v>36</v>
      </c>
      <c r="BF288" s="1102">
        <v>720</v>
      </c>
      <c r="BG288" s="1102" t="s">
        <v>108</v>
      </c>
      <c r="BH288" s="1102" t="s">
        <v>109</v>
      </c>
    </row>
    <row r="289" spans="1:60">
      <c r="A289" s="1102" t="s">
        <v>1448</v>
      </c>
      <c r="B289" s="1102" t="s">
        <v>111</v>
      </c>
      <c r="C289" s="1102" t="s">
        <v>1061</v>
      </c>
      <c r="D289" s="1102" t="s">
        <v>63</v>
      </c>
      <c r="E289" s="1102" t="s">
        <v>144</v>
      </c>
      <c r="F289" s="1102" t="s">
        <v>145</v>
      </c>
      <c r="G289" s="1102" t="s">
        <v>402</v>
      </c>
      <c r="H289" s="1102" t="s">
        <v>1449</v>
      </c>
      <c r="I289" s="1102" t="s">
        <v>689</v>
      </c>
      <c r="J289" s="1102" t="s">
        <v>1450</v>
      </c>
      <c r="K289" s="1102" t="s">
        <v>1451</v>
      </c>
      <c r="L289" s="1102">
        <v>6</v>
      </c>
      <c r="M289" s="1102" t="s">
        <v>840</v>
      </c>
      <c r="N289" s="1102">
        <v>46076</v>
      </c>
      <c r="O289" s="1102" t="s">
        <v>132</v>
      </c>
      <c r="P289" s="1102" t="s">
        <v>1062</v>
      </c>
      <c r="Q289" s="1102" t="s">
        <v>1063</v>
      </c>
      <c r="R289" s="1102" t="s">
        <v>73</v>
      </c>
      <c r="S289" s="1102" t="s">
        <v>967</v>
      </c>
      <c r="T289" s="1102">
        <v>470</v>
      </c>
      <c r="U289" s="1102">
        <v>2592</v>
      </c>
      <c r="V289" s="1102">
        <v>1.21824</v>
      </c>
      <c r="W289" s="1102">
        <v>72</v>
      </c>
      <c r="X289" s="1102">
        <v>3</v>
      </c>
      <c r="Y289" s="1102" t="s">
        <v>75</v>
      </c>
      <c r="Z289" s="1102" t="s">
        <v>75</v>
      </c>
      <c r="AB289" s="1103">
        <v>46086</v>
      </c>
      <c r="AC289" s="1102">
        <v>10</v>
      </c>
      <c r="AD289" s="1102" t="s">
        <v>1452</v>
      </c>
      <c r="AF289" s="1102" t="s">
        <v>122</v>
      </c>
      <c r="AG289" s="1102" t="s">
        <v>123</v>
      </c>
      <c r="AH289" s="1102" t="s">
        <v>105</v>
      </c>
      <c r="AI289" s="1103">
        <v>46096</v>
      </c>
      <c r="AJ289" s="1103">
        <v>46103</v>
      </c>
      <c r="AK289" s="1103">
        <v>46103</v>
      </c>
      <c r="AL289" s="1103">
        <v>46133</v>
      </c>
      <c r="AM289" s="1103">
        <v>46150</v>
      </c>
      <c r="AN289" s="1103">
        <v>46148</v>
      </c>
      <c r="AO289" s="1102" t="s">
        <v>402</v>
      </c>
      <c r="AP289" s="1102" t="s">
        <v>889</v>
      </c>
      <c r="AQ289" s="1102" t="s">
        <v>80</v>
      </c>
      <c r="AR289" s="1102" t="s">
        <v>1453</v>
      </c>
      <c r="AS289" s="1102" t="s">
        <v>1454</v>
      </c>
      <c r="AT289" s="1102" t="s">
        <v>1443</v>
      </c>
      <c r="AU289" s="1102">
        <v>45</v>
      </c>
      <c r="AW289" s="1103">
        <v>46148</v>
      </c>
      <c r="AX289" s="1102" t="s">
        <v>973</v>
      </c>
      <c r="AY289" s="1103">
        <v>46138</v>
      </c>
      <c r="AZ289" s="1102">
        <v>0</v>
      </c>
      <c r="BA289" s="1103">
        <v>46148</v>
      </c>
      <c r="BB289" s="1102">
        <v>2026</v>
      </c>
      <c r="BC289" s="1102">
        <v>5</v>
      </c>
      <c r="BD289" s="1102">
        <v>19</v>
      </c>
      <c r="BE289" s="1102">
        <v>36</v>
      </c>
      <c r="BF289" s="1102">
        <v>864</v>
      </c>
      <c r="BG289" s="1102" t="s">
        <v>108</v>
      </c>
      <c r="BH289" s="1102" t="s">
        <v>109</v>
      </c>
    </row>
    <row r="290" spans="1:60">
      <c r="A290" s="1102" t="s">
        <v>1455</v>
      </c>
      <c r="B290" s="1102" t="s">
        <v>111</v>
      </c>
      <c r="C290" s="1102" t="s">
        <v>1061</v>
      </c>
      <c r="D290" s="1102" t="s">
        <v>63</v>
      </c>
      <c r="E290" s="1102" t="s">
        <v>144</v>
      </c>
      <c r="F290" s="1102" t="s">
        <v>145</v>
      </c>
      <c r="G290" s="1102" t="s">
        <v>402</v>
      </c>
      <c r="H290" s="1102" t="s">
        <v>1449</v>
      </c>
      <c r="I290" s="1102" t="s">
        <v>689</v>
      </c>
      <c r="J290" s="1102" t="s">
        <v>1450</v>
      </c>
      <c r="K290" s="1102" t="s">
        <v>1451</v>
      </c>
      <c r="L290" s="1102">
        <v>7</v>
      </c>
      <c r="M290" s="1102" t="s">
        <v>840</v>
      </c>
      <c r="N290" s="1102">
        <v>46076</v>
      </c>
      <c r="O290" s="1102" t="s">
        <v>132</v>
      </c>
      <c r="P290" s="1102" t="s">
        <v>1062</v>
      </c>
      <c r="Q290" s="1102" t="s">
        <v>1063</v>
      </c>
      <c r="R290" s="1102" t="s">
        <v>73</v>
      </c>
      <c r="S290" s="1102" t="s">
        <v>967</v>
      </c>
      <c r="T290" s="1102">
        <v>470</v>
      </c>
      <c r="U290" s="1102">
        <v>1728</v>
      </c>
      <c r="V290" s="1102">
        <v>0.81215999999999999</v>
      </c>
      <c r="W290" s="1102">
        <v>48</v>
      </c>
      <c r="X290" s="1102">
        <v>2</v>
      </c>
      <c r="Y290" s="1102" t="s">
        <v>75</v>
      </c>
      <c r="Z290" s="1102" t="s">
        <v>75</v>
      </c>
      <c r="AA290" s="1102" t="s">
        <v>1456</v>
      </c>
      <c r="AB290" s="1103">
        <v>46086</v>
      </c>
      <c r="AC290" s="1102">
        <v>10</v>
      </c>
      <c r="AD290" s="1102" t="s">
        <v>1457</v>
      </c>
      <c r="AF290" s="1102" t="s">
        <v>122</v>
      </c>
      <c r="AG290" s="1102" t="s">
        <v>123</v>
      </c>
      <c r="AH290" s="1102" t="s">
        <v>105</v>
      </c>
      <c r="AI290" s="1103">
        <v>46096</v>
      </c>
      <c r="AJ290" s="1103">
        <v>46103</v>
      </c>
      <c r="AK290" s="1103">
        <v>46103</v>
      </c>
      <c r="AL290" s="1103">
        <v>46133</v>
      </c>
      <c r="AM290" s="1103">
        <v>46150</v>
      </c>
      <c r="AN290" s="1103">
        <v>46148</v>
      </c>
      <c r="AO290" s="1102" t="s">
        <v>402</v>
      </c>
      <c r="AP290" s="1102" t="s">
        <v>889</v>
      </c>
      <c r="AQ290" s="1102" t="s">
        <v>80</v>
      </c>
      <c r="AR290" s="1102" t="s">
        <v>1453</v>
      </c>
      <c r="AS290" s="1102" t="s">
        <v>1454</v>
      </c>
      <c r="AT290" s="1102" t="s">
        <v>1443</v>
      </c>
      <c r="AU290" s="1102">
        <v>45</v>
      </c>
      <c r="AW290" s="1103">
        <v>46148</v>
      </c>
      <c r="AX290" s="1102" t="s">
        <v>973</v>
      </c>
      <c r="AY290" s="1103">
        <v>46163</v>
      </c>
      <c r="AZ290" s="1102">
        <v>0</v>
      </c>
      <c r="BA290" s="1103">
        <v>46148</v>
      </c>
      <c r="BB290" s="1102">
        <v>2026</v>
      </c>
      <c r="BC290" s="1102">
        <v>5</v>
      </c>
      <c r="BD290" s="1102">
        <v>19</v>
      </c>
      <c r="BE290" s="1102">
        <v>36</v>
      </c>
      <c r="BF290" s="1102">
        <v>864</v>
      </c>
      <c r="BG290" s="1102" t="s">
        <v>108</v>
      </c>
      <c r="BH290" s="1102" t="s">
        <v>109</v>
      </c>
    </row>
    <row r="291" spans="1:60">
      <c r="A291" s="1102" t="s">
        <v>1458</v>
      </c>
      <c r="B291" s="1102" t="s">
        <v>111</v>
      </c>
      <c r="C291" s="1102" t="s">
        <v>1459</v>
      </c>
      <c r="D291" s="1102" t="s">
        <v>63</v>
      </c>
      <c r="E291" s="1102" t="s">
        <v>64</v>
      </c>
      <c r="F291" s="1102" t="s">
        <v>100</v>
      </c>
      <c r="G291" s="1102" t="s">
        <v>402</v>
      </c>
      <c r="H291" s="1102" t="s">
        <v>67</v>
      </c>
      <c r="I291" s="1102" t="s">
        <v>689</v>
      </c>
      <c r="J291" s="1102" t="s">
        <v>1460</v>
      </c>
      <c r="M291" s="1102" t="s">
        <v>68</v>
      </c>
      <c r="N291" s="1102">
        <v>46097</v>
      </c>
      <c r="O291" s="1102" t="s">
        <v>70</v>
      </c>
      <c r="P291" s="1102" t="s">
        <v>1461</v>
      </c>
      <c r="Q291" s="1102" t="s">
        <v>103</v>
      </c>
      <c r="R291" s="1102" t="s">
        <v>73</v>
      </c>
      <c r="S291" s="1102" t="s">
        <v>992</v>
      </c>
      <c r="T291" s="1102">
        <v>620</v>
      </c>
      <c r="U291" s="1102">
        <v>7920</v>
      </c>
      <c r="V291" s="1102">
        <v>4.9104000000000001</v>
      </c>
      <c r="W291" s="1102">
        <v>220</v>
      </c>
      <c r="X291" s="1102">
        <v>11</v>
      </c>
      <c r="Y291" s="1102" t="s">
        <v>75</v>
      </c>
      <c r="Z291" s="1102" t="s">
        <v>75</v>
      </c>
      <c r="AA291" s="1102" t="s">
        <v>1456</v>
      </c>
      <c r="AB291" s="1103">
        <v>46090</v>
      </c>
      <c r="AC291" s="1102">
        <v>11</v>
      </c>
      <c r="AD291" s="1102" t="s">
        <v>1462</v>
      </c>
      <c r="AF291" s="1102" t="s">
        <v>122</v>
      </c>
      <c r="AG291" s="1102" t="s">
        <v>123</v>
      </c>
      <c r="AH291" s="1102" t="s">
        <v>105</v>
      </c>
      <c r="AI291" s="1103">
        <v>46096</v>
      </c>
      <c r="AJ291" s="1103">
        <v>46103</v>
      </c>
      <c r="AK291" s="1103">
        <v>46103</v>
      </c>
      <c r="AL291" s="1103">
        <v>46133</v>
      </c>
      <c r="AM291" s="1103">
        <v>46150</v>
      </c>
      <c r="AN291" s="1103">
        <v>46148</v>
      </c>
      <c r="AO291" s="1102" t="s">
        <v>402</v>
      </c>
      <c r="AP291" s="1102" t="s">
        <v>889</v>
      </c>
      <c r="AQ291" s="1102" t="s">
        <v>80</v>
      </c>
      <c r="AR291" s="1102" t="s">
        <v>1463</v>
      </c>
      <c r="AS291" s="1102" t="s">
        <v>1464</v>
      </c>
      <c r="AT291" s="1102" t="s">
        <v>1464</v>
      </c>
      <c r="AU291" s="1102">
        <v>45</v>
      </c>
      <c r="AW291" s="1103">
        <v>46148</v>
      </c>
      <c r="AX291" s="1102" t="s">
        <v>973</v>
      </c>
      <c r="AY291" s="1103">
        <v>46163</v>
      </c>
      <c r="AZ291" s="1102">
        <v>7</v>
      </c>
      <c r="BA291" s="1103">
        <v>46155</v>
      </c>
      <c r="BB291" s="1102">
        <v>2026</v>
      </c>
      <c r="BC291" s="1102">
        <v>5</v>
      </c>
      <c r="BD291" s="1102">
        <v>20</v>
      </c>
      <c r="BE291" s="1102">
        <v>36</v>
      </c>
      <c r="BF291" s="1102">
        <v>720</v>
      </c>
      <c r="BG291" s="1102" t="s">
        <v>128</v>
      </c>
      <c r="BH291" s="1102" t="s">
        <v>109</v>
      </c>
    </row>
    <row r="292" spans="1:60">
      <c r="A292" s="1102" t="s">
        <v>1465</v>
      </c>
      <c r="B292" s="1102" t="s">
        <v>111</v>
      </c>
      <c r="C292" s="1102" t="s">
        <v>1061</v>
      </c>
      <c r="D292" s="1102" t="s">
        <v>63</v>
      </c>
      <c r="E292" s="1102" t="s">
        <v>64</v>
      </c>
      <c r="F292" s="1102" t="s">
        <v>100</v>
      </c>
      <c r="G292" s="1102" t="s">
        <v>402</v>
      </c>
      <c r="H292" s="1102" t="s">
        <v>67</v>
      </c>
      <c r="I292" s="1102" t="s">
        <v>689</v>
      </c>
      <c r="J292" s="1102" t="s">
        <v>101</v>
      </c>
      <c r="M292" s="1102" t="s">
        <v>68</v>
      </c>
      <c r="N292" s="1102">
        <v>46076</v>
      </c>
      <c r="O292" s="1102" t="s">
        <v>132</v>
      </c>
      <c r="P292" s="1102" t="s">
        <v>1062</v>
      </c>
      <c r="Q292" s="1102" t="s">
        <v>1063</v>
      </c>
      <c r="R292" s="1102" t="s">
        <v>73</v>
      </c>
      <c r="S292" s="1102" t="s">
        <v>967</v>
      </c>
      <c r="T292" s="1102">
        <v>470</v>
      </c>
      <c r="U292" s="1102">
        <v>3456</v>
      </c>
      <c r="V292" s="1102">
        <v>1.62432</v>
      </c>
      <c r="W292" s="1102">
        <v>96</v>
      </c>
      <c r="X292" s="1102">
        <v>4</v>
      </c>
      <c r="Y292" s="1102" t="s">
        <v>75</v>
      </c>
      <c r="Z292" s="1102" t="s">
        <v>75</v>
      </c>
      <c r="AB292" s="1103">
        <v>46091</v>
      </c>
      <c r="AC292" s="1102">
        <v>11</v>
      </c>
      <c r="AD292" s="1102" t="s">
        <v>1466</v>
      </c>
      <c r="AF292" s="1102" t="s">
        <v>122</v>
      </c>
      <c r="AG292" s="1102" t="s">
        <v>123</v>
      </c>
      <c r="AH292" s="1102" t="s">
        <v>105</v>
      </c>
      <c r="AI292" s="1103">
        <v>46096</v>
      </c>
      <c r="AJ292" s="1103">
        <v>46103</v>
      </c>
      <c r="AK292" s="1103">
        <v>46103</v>
      </c>
      <c r="AL292" s="1103">
        <v>46133</v>
      </c>
      <c r="AM292" s="1103">
        <v>46150</v>
      </c>
      <c r="AN292" s="1103">
        <v>46148</v>
      </c>
      <c r="AO292" s="1102" t="s">
        <v>402</v>
      </c>
      <c r="AP292" s="1102" t="s">
        <v>889</v>
      </c>
      <c r="AQ292" s="1102" t="s">
        <v>80</v>
      </c>
      <c r="AR292" s="1102" t="s">
        <v>1463</v>
      </c>
      <c r="AS292" s="1102" t="s">
        <v>1464</v>
      </c>
      <c r="AT292" s="1102" t="s">
        <v>1464</v>
      </c>
      <c r="AU292" s="1102">
        <v>45</v>
      </c>
      <c r="AW292" s="1103">
        <v>46148</v>
      </c>
      <c r="AX292" s="1102" t="s">
        <v>973</v>
      </c>
      <c r="AY292" s="1103">
        <v>46163</v>
      </c>
      <c r="AZ292" s="1102">
        <v>7</v>
      </c>
      <c r="BA292" s="1103">
        <v>46155</v>
      </c>
      <c r="BB292" s="1102">
        <v>2026</v>
      </c>
      <c r="BC292" s="1102">
        <v>5</v>
      </c>
      <c r="BD292" s="1102">
        <v>20</v>
      </c>
      <c r="BE292" s="1102">
        <v>36</v>
      </c>
      <c r="BF292" s="1102">
        <v>864</v>
      </c>
      <c r="BG292" s="1102" t="s">
        <v>108</v>
      </c>
      <c r="BH292" s="1102" t="s">
        <v>109</v>
      </c>
    </row>
    <row r="293" spans="1:60">
      <c r="A293" s="1102" t="s">
        <v>1467</v>
      </c>
      <c r="B293" s="1102" t="s">
        <v>111</v>
      </c>
      <c r="C293" s="1102" t="s">
        <v>1459</v>
      </c>
      <c r="D293" s="1102" t="s">
        <v>63</v>
      </c>
      <c r="E293" s="1102" t="s">
        <v>64</v>
      </c>
      <c r="F293" s="1102" t="s">
        <v>100</v>
      </c>
      <c r="G293" s="1102" t="s">
        <v>402</v>
      </c>
      <c r="H293" s="1102" t="s">
        <v>67</v>
      </c>
      <c r="I293" s="1102" t="s">
        <v>689</v>
      </c>
      <c r="J293" s="1102" t="s">
        <v>101</v>
      </c>
      <c r="M293" s="1102" t="s">
        <v>68</v>
      </c>
      <c r="N293" s="1102">
        <v>46097</v>
      </c>
      <c r="O293" s="1102" t="s">
        <v>70</v>
      </c>
      <c r="P293" s="1102" t="s">
        <v>1461</v>
      </c>
      <c r="Q293" s="1102" t="s">
        <v>103</v>
      </c>
      <c r="R293" s="1102" t="s">
        <v>73</v>
      </c>
      <c r="S293" s="1102" t="s">
        <v>992</v>
      </c>
      <c r="T293" s="1102">
        <v>620</v>
      </c>
      <c r="U293" s="1102">
        <v>2160</v>
      </c>
      <c r="V293" s="1102">
        <v>1.3391999999999999</v>
      </c>
      <c r="W293" s="1102">
        <v>60</v>
      </c>
      <c r="X293" s="1102">
        <v>3</v>
      </c>
      <c r="Y293" s="1102" t="s">
        <v>75</v>
      </c>
      <c r="Z293" s="1102" t="s">
        <v>75</v>
      </c>
      <c r="AA293" s="1102" t="s">
        <v>1456</v>
      </c>
      <c r="AB293" s="1103">
        <v>46092</v>
      </c>
      <c r="AC293" s="1102">
        <v>11</v>
      </c>
      <c r="AD293" s="1102" t="s">
        <v>1468</v>
      </c>
      <c r="AF293" s="1102" t="s">
        <v>122</v>
      </c>
      <c r="AG293" s="1102" t="s">
        <v>123</v>
      </c>
      <c r="AH293" s="1102" t="s">
        <v>105</v>
      </c>
      <c r="AI293" s="1103">
        <v>46096</v>
      </c>
      <c r="AJ293" s="1103">
        <v>46103</v>
      </c>
      <c r="AK293" s="1103">
        <v>46103</v>
      </c>
      <c r="AL293" s="1103">
        <v>46133</v>
      </c>
      <c r="AM293" s="1103">
        <v>46150</v>
      </c>
      <c r="AN293" s="1103">
        <v>46148</v>
      </c>
      <c r="AO293" s="1102" t="s">
        <v>402</v>
      </c>
      <c r="AP293" s="1102" t="s">
        <v>889</v>
      </c>
      <c r="AQ293" s="1102" t="s">
        <v>80</v>
      </c>
      <c r="AR293" s="1102" t="s">
        <v>919</v>
      </c>
      <c r="AS293" s="1102" t="s">
        <v>920</v>
      </c>
      <c r="AT293" s="1102" t="s">
        <v>920</v>
      </c>
      <c r="AU293" s="1102">
        <v>45</v>
      </c>
      <c r="AW293" s="1103">
        <v>46148</v>
      </c>
      <c r="AX293" s="1102" t="s">
        <v>973</v>
      </c>
      <c r="AY293" s="1103">
        <v>46163</v>
      </c>
      <c r="AZ293" s="1102">
        <v>7</v>
      </c>
      <c r="BA293" s="1103">
        <v>46155</v>
      </c>
      <c r="BB293" s="1102">
        <v>2026</v>
      </c>
      <c r="BC293" s="1102">
        <v>5</v>
      </c>
      <c r="BD293" s="1102">
        <v>20</v>
      </c>
      <c r="BE293" s="1102">
        <v>36</v>
      </c>
      <c r="BF293" s="1102">
        <v>720</v>
      </c>
      <c r="BG293" s="1102" t="s">
        <v>128</v>
      </c>
      <c r="BH293" s="1102" t="s">
        <v>109</v>
      </c>
    </row>
    <row r="294" spans="1:60">
      <c r="A294" s="1102" t="s">
        <v>1469</v>
      </c>
      <c r="B294" s="1102" t="s">
        <v>111</v>
      </c>
      <c r="C294" s="1102" t="s">
        <v>1459</v>
      </c>
      <c r="D294" s="1102" t="s">
        <v>63</v>
      </c>
      <c r="E294" s="1102" t="s">
        <v>64</v>
      </c>
      <c r="F294" s="1102" t="s">
        <v>100</v>
      </c>
      <c r="G294" s="1102" t="s">
        <v>402</v>
      </c>
      <c r="H294" s="1102" t="s">
        <v>67</v>
      </c>
      <c r="I294" s="1102" t="s">
        <v>689</v>
      </c>
      <c r="J294" s="1102" t="s">
        <v>917</v>
      </c>
      <c r="M294" s="1102" t="s">
        <v>68</v>
      </c>
      <c r="N294" s="1102">
        <v>46097</v>
      </c>
      <c r="O294" s="1102" t="s">
        <v>70</v>
      </c>
      <c r="P294" s="1102" t="s">
        <v>1461</v>
      </c>
      <c r="Q294" s="1102" t="s">
        <v>103</v>
      </c>
      <c r="R294" s="1102" t="s">
        <v>73</v>
      </c>
      <c r="S294" s="1102" t="s">
        <v>992</v>
      </c>
      <c r="T294" s="1102">
        <v>620</v>
      </c>
      <c r="U294" s="1102">
        <v>2880</v>
      </c>
      <c r="V294" s="1102">
        <v>1.7856000000000001</v>
      </c>
      <c r="W294" s="1102">
        <v>80</v>
      </c>
      <c r="X294" s="1102">
        <v>4</v>
      </c>
      <c r="Y294" s="1102" t="s">
        <v>75</v>
      </c>
      <c r="Z294" s="1102" t="s">
        <v>75</v>
      </c>
      <c r="AA294" s="1102" t="s">
        <v>1456</v>
      </c>
      <c r="AB294" s="1103">
        <v>46092</v>
      </c>
      <c r="AC294" s="1102">
        <v>11</v>
      </c>
      <c r="AD294" s="1102" t="s">
        <v>1470</v>
      </c>
      <c r="AF294" s="1102" t="s">
        <v>122</v>
      </c>
      <c r="AG294" s="1102" t="s">
        <v>123</v>
      </c>
      <c r="AH294" s="1102" t="s">
        <v>105</v>
      </c>
      <c r="AI294" s="1103">
        <v>46096</v>
      </c>
      <c r="AJ294" s="1103">
        <v>46103</v>
      </c>
      <c r="AK294" s="1103">
        <v>46103</v>
      </c>
      <c r="AL294" s="1103">
        <v>46133</v>
      </c>
      <c r="AM294" s="1103">
        <v>46150</v>
      </c>
      <c r="AN294" s="1103">
        <v>46148</v>
      </c>
      <c r="AO294" s="1102" t="s">
        <v>402</v>
      </c>
      <c r="AP294" s="1102" t="s">
        <v>889</v>
      </c>
      <c r="AQ294" s="1102" t="s">
        <v>80</v>
      </c>
      <c r="AR294" s="1102" t="s">
        <v>919</v>
      </c>
      <c r="AS294" s="1102" t="s">
        <v>920</v>
      </c>
      <c r="AT294" s="1102" t="s">
        <v>920</v>
      </c>
      <c r="AU294" s="1102">
        <v>45</v>
      </c>
      <c r="AW294" s="1103">
        <v>46148</v>
      </c>
      <c r="AX294" s="1102" t="s">
        <v>973</v>
      </c>
      <c r="AY294" s="1103">
        <v>46163</v>
      </c>
      <c r="AZ294" s="1102">
        <v>7</v>
      </c>
      <c r="BA294" s="1103">
        <v>46155</v>
      </c>
      <c r="BB294" s="1102">
        <v>2026</v>
      </c>
      <c r="BC294" s="1102">
        <v>5</v>
      </c>
      <c r="BD294" s="1102">
        <v>20</v>
      </c>
      <c r="BE294" s="1102">
        <v>36</v>
      </c>
      <c r="BF294" s="1102">
        <v>720</v>
      </c>
      <c r="BG294" s="1102" t="s">
        <v>128</v>
      </c>
      <c r="BH294" s="1102" t="s">
        <v>109</v>
      </c>
    </row>
    <row r="295" spans="1:60">
      <c r="A295" s="1102" t="s">
        <v>1471</v>
      </c>
      <c r="B295" s="1102" t="s">
        <v>111</v>
      </c>
      <c r="C295" s="1102" t="s">
        <v>1046</v>
      </c>
      <c r="D295" s="1102" t="s">
        <v>63</v>
      </c>
      <c r="E295" s="1102" t="s">
        <v>64</v>
      </c>
      <c r="F295" s="1102" t="s">
        <v>100</v>
      </c>
      <c r="G295" s="1102" t="s">
        <v>402</v>
      </c>
      <c r="H295" s="1102" t="s">
        <v>67</v>
      </c>
      <c r="I295" s="1102" t="s">
        <v>822</v>
      </c>
      <c r="J295" s="1102" t="s">
        <v>1047</v>
      </c>
      <c r="M295" s="1102" t="s">
        <v>68</v>
      </c>
      <c r="N295" s="1102">
        <v>46069</v>
      </c>
      <c r="O295" s="1102" t="s">
        <v>70</v>
      </c>
      <c r="P295" s="1102" t="s">
        <v>1002</v>
      </c>
      <c r="Q295" s="1102" t="s">
        <v>330</v>
      </c>
      <c r="R295" s="1102" t="s">
        <v>73</v>
      </c>
      <c r="S295" s="1102" t="s">
        <v>992</v>
      </c>
      <c r="T295" s="1102">
        <v>625</v>
      </c>
      <c r="U295" s="1102">
        <v>7200</v>
      </c>
      <c r="V295" s="1102">
        <v>4.5</v>
      </c>
      <c r="W295" s="1102">
        <v>200</v>
      </c>
      <c r="X295" s="1102">
        <v>10</v>
      </c>
      <c r="Y295" s="1102" t="s">
        <v>75</v>
      </c>
      <c r="Z295" s="1102" t="s">
        <v>75</v>
      </c>
      <c r="AA295" s="1102" t="s">
        <v>1472</v>
      </c>
      <c r="AB295" s="1103">
        <v>46090</v>
      </c>
      <c r="AC295" s="1102">
        <v>11</v>
      </c>
      <c r="AD295" s="1102" t="s">
        <v>1473</v>
      </c>
      <c r="AF295" s="1102" t="s">
        <v>122</v>
      </c>
      <c r="AG295" s="1102" t="s">
        <v>123</v>
      </c>
      <c r="AH295" s="1102" t="s">
        <v>105</v>
      </c>
      <c r="AI295" s="1103">
        <v>46096</v>
      </c>
      <c r="AJ295" s="1103">
        <v>46103</v>
      </c>
      <c r="AK295" s="1103">
        <v>46103</v>
      </c>
      <c r="AL295" s="1103">
        <v>46133</v>
      </c>
      <c r="AM295" s="1103">
        <v>46150</v>
      </c>
      <c r="AN295" s="1103">
        <v>46148</v>
      </c>
      <c r="AO295" s="1102" t="s">
        <v>402</v>
      </c>
      <c r="AP295" s="1102" t="s">
        <v>889</v>
      </c>
      <c r="AQ295" s="1102" t="s">
        <v>80</v>
      </c>
      <c r="AR295" s="1102" t="s">
        <v>1474</v>
      </c>
      <c r="AS295" s="1102" t="s">
        <v>1475</v>
      </c>
      <c r="AT295" s="1102" t="s">
        <v>1475</v>
      </c>
      <c r="AU295" s="1102">
        <v>45</v>
      </c>
      <c r="AW295" s="1103">
        <v>46148</v>
      </c>
      <c r="AX295" s="1102" t="s">
        <v>973</v>
      </c>
      <c r="AY295" s="1103">
        <v>46163</v>
      </c>
      <c r="AZ295" s="1102">
        <v>7</v>
      </c>
      <c r="BA295" s="1103">
        <v>46155</v>
      </c>
      <c r="BB295" s="1102">
        <v>2026</v>
      </c>
      <c r="BC295" s="1102">
        <v>5</v>
      </c>
      <c r="BD295" s="1102">
        <v>20</v>
      </c>
      <c r="BE295" s="1102">
        <v>36</v>
      </c>
      <c r="BF295" s="1102">
        <v>720</v>
      </c>
      <c r="BG295" s="1102" t="s">
        <v>128</v>
      </c>
      <c r="BH295" s="1102" t="s">
        <v>109</v>
      </c>
    </row>
    <row r="296" spans="1:60">
      <c r="A296" s="1102" t="s">
        <v>1476</v>
      </c>
      <c r="B296" s="1102" t="s">
        <v>111</v>
      </c>
      <c r="C296" s="1102" t="s">
        <v>1318</v>
      </c>
      <c r="D296" s="1102" t="s">
        <v>63</v>
      </c>
      <c r="E296" s="1102" t="s">
        <v>64</v>
      </c>
      <c r="F296" s="1102" t="s">
        <v>100</v>
      </c>
      <c r="G296" s="1102" t="s">
        <v>402</v>
      </c>
      <c r="H296" s="1102" t="s">
        <v>67</v>
      </c>
      <c r="I296" s="1102" t="s">
        <v>689</v>
      </c>
      <c r="J296" s="1102" t="s">
        <v>483</v>
      </c>
      <c r="M296" s="1102" t="s">
        <v>68</v>
      </c>
      <c r="N296" s="1102">
        <v>46083</v>
      </c>
      <c r="O296" s="1102" t="s">
        <v>473</v>
      </c>
      <c r="P296" s="1102" t="s">
        <v>474</v>
      </c>
      <c r="Q296" s="1102" t="s">
        <v>1319</v>
      </c>
      <c r="R296" s="1102" t="s">
        <v>73</v>
      </c>
      <c r="S296" s="1102" t="s">
        <v>967</v>
      </c>
      <c r="T296" s="1102">
        <v>460</v>
      </c>
      <c r="U296" s="1102">
        <v>8640</v>
      </c>
      <c r="V296" s="1102">
        <v>3.9744000000000002</v>
      </c>
      <c r="W296" s="1102">
        <v>240</v>
      </c>
      <c r="X296" s="1102">
        <v>10</v>
      </c>
      <c r="Y296" s="1102" t="s">
        <v>75</v>
      </c>
      <c r="Z296" s="1102" t="s">
        <v>75</v>
      </c>
      <c r="AA296" s="1102" t="s">
        <v>1477</v>
      </c>
      <c r="AB296" s="1103">
        <v>46092</v>
      </c>
      <c r="AC296" s="1102">
        <v>11</v>
      </c>
      <c r="AD296" s="1102" t="s">
        <v>1478</v>
      </c>
      <c r="AF296" s="1102" t="s">
        <v>122</v>
      </c>
      <c r="AG296" s="1102" t="s">
        <v>123</v>
      </c>
      <c r="AH296" s="1102" t="s">
        <v>105</v>
      </c>
      <c r="AI296" s="1103">
        <v>46096</v>
      </c>
      <c r="AJ296" s="1103">
        <v>46103</v>
      </c>
      <c r="AK296" s="1103">
        <v>46103</v>
      </c>
      <c r="AL296" s="1103">
        <v>46133</v>
      </c>
      <c r="AM296" s="1103">
        <v>46150</v>
      </c>
      <c r="AN296" s="1103">
        <v>46148</v>
      </c>
      <c r="AO296" s="1102" t="s">
        <v>402</v>
      </c>
      <c r="AP296" s="1102" t="s">
        <v>889</v>
      </c>
      <c r="AQ296" s="1102" t="s">
        <v>80</v>
      </c>
      <c r="AR296" s="1102" t="s">
        <v>1479</v>
      </c>
      <c r="AS296" s="1102" t="s">
        <v>1480</v>
      </c>
      <c r="AT296" s="1102" t="s">
        <v>1480</v>
      </c>
      <c r="AU296" s="1102">
        <v>45</v>
      </c>
      <c r="AW296" s="1103">
        <v>46148</v>
      </c>
      <c r="AX296" s="1102" t="s">
        <v>973</v>
      </c>
      <c r="AY296" s="1103">
        <v>46163</v>
      </c>
      <c r="AZ296" s="1102">
        <v>7</v>
      </c>
      <c r="BA296" s="1103">
        <v>46155</v>
      </c>
      <c r="BB296" s="1102">
        <v>2026</v>
      </c>
      <c r="BC296" s="1102">
        <v>5</v>
      </c>
      <c r="BD296" s="1102">
        <v>20</v>
      </c>
      <c r="BE296" s="1102">
        <v>36</v>
      </c>
      <c r="BF296" s="1102">
        <v>864</v>
      </c>
      <c r="BG296" s="1102" t="s">
        <v>85</v>
      </c>
      <c r="BH296" s="1102" t="s">
        <v>109</v>
      </c>
    </row>
    <row r="297" spans="1:60">
      <c r="A297" s="1102" t="s">
        <v>1481</v>
      </c>
      <c r="B297" s="1102" t="s">
        <v>111</v>
      </c>
      <c r="C297" s="1102" t="s">
        <v>1482</v>
      </c>
      <c r="D297" s="1102" t="s">
        <v>63</v>
      </c>
      <c r="E297" s="1102" t="s">
        <v>64</v>
      </c>
      <c r="F297" s="1102" t="s">
        <v>100</v>
      </c>
      <c r="G297" s="1102" t="s">
        <v>402</v>
      </c>
      <c r="H297" s="1102" t="s">
        <v>67</v>
      </c>
      <c r="I297" s="1102" t="s">
        <v>689</v>
      </c>
      <c r="J297" s="1102" t="s">
        <v>101</v>
      </c>
      <c r="M297" s="1102" t="s">
        <v>68</v>
      </c>
      <c r="N297" s="1102">
        <v>46093</v>
      </c>
      <c r="O297" s="1102" t="s">
        <v>70</v>
      </c>
      <c r="P297" s="1102" t="s">
        <v>1483</v>
      </c>
      <c r="Q297" s="1102" t="s">
        <v>1484</v>
      </c>
      <c r="R297" s="1102" t="s">
        <v>73</v>
      </c>
      <c r="S297" s="1102" t="s">
        <v>992</v>
      </c>
      <c r="T297" s="1102">
        <v>725</v>
      </c>
      <c r="U297" s="1102">
        <v>8910</v>
      </c>
      <c r="V297" s="1102">
        <v>6.4597499999999997</v>
      </c>
      <c r="W297" s="1102">
        <v>270</v>
      </c>
      <c r="X297" s="1102">
        <v>15</v>
      </c>
      <c r="Y297" s="1102" t="s">
        <v>75</v>
      </c>
      <c r="Z297" s="1102" t="s">
        <v>75</v>
      </c>
      <c r="AA297" s="1102" t="s">
        <v>1456</v>
      </c>
      <c r="AB297" s="1103">
        <v>46094</v>
      </c>
      <c r="AC297" s="1102">
        <v>11</v>
      </c>
      <c r="AD297" s="1102" t="s">
        <v>1485</v>
      </c>
      <c r="AF297" s="1102" t="s">
        <v>122</v>
      </c>
      <c r="AG297" s="1102" t="s">
        <v>123</v>
      </c>
      <c r="AH297" s="1102" t="s">
        <v>105</v>
      </c>
      <c r="AI297" s="1103">
        <v>46097</v>
      </c>
      <c r="AJ297" s="1103">
        <v>46112</v>
      </c>
      <c r="AK297" s="1103">
        <v>46112</v>
      </c>
      <c r="AL297" s="1103">
        <v>46134</v>
      </c>
      <c r="AM297" s="1103">
        <v>46154</v>
      </c>
      <c r="AN297" s="1103">
        <v>46157</v>
      </c>
      <c r="AO297" s="1102" t="s">
        <v>402</v>
      </c>
      <c r="AP297" s="1102" t="s">
        <v>1486</v>
      </c>
      <c r="AQ297" s="1102" t="s">
        <v>80</v>
      </c>
      <c r="AR297" s="1102" t="s">
        <v>1487</v>
      </c>
      <c r="AS297" s="1102" t="s">
        <v>1488</v>
      </c>
      <c r="AT297" s="1102" t="s">
        <v>1488</v>
      </c>
      <c r="AU297" s="1102">
        <v>45</v>
      </c>
      <c r="AW297" s="1103">
        <v>46157</v>
      </c>
      <c r="AX297" s="1102" t="s">
        <v>973</v>
      </c>
      <c r="AY297" s="1103">
        <v>46168</v>
      </c>
      <c r="AZ297" s="1102">
        <v>7</v>
      </c>
      <c r="BA297" s="1103">
        <v>46164</v>
      </c>
      <c r="BB297" s="1102">
        <v>2026</v>
      </c>
      <c r="BC297" s="1102">
        <v>5</v>
      </c>
      <c r="BD297" s="1102">
        <v>21</v>
      </c>
      <c r="BE297" s="1102">
        <v>33</v>
      </c>
      <c r="BF297" s="1102">
        <v>594</v>
      </c>
      <c r="BG297" s="1102" t="s">
        <v>128</v>
      </c>
      <c r="BH297" s="1102" t="s">
        <v>109</v>
      </c>
    </row>
    <row r="298" spans="1:60">
      <c r="A298" s="1102" t="s">
        <v>1489</v>
      </c>
      <c r="B298" s="1102" t="s">
        <v>111</v>
      </c>
      <c r="C298" s="1102" t="s">
        <v>1310</v>
      </c>
      <c r="D298" s="1102" t="s">
        <v>63</v>
      </c>
      <c r="E298" s="1102" t="s">
        <v>64</v>
      </c>
      <c r="F298" s="1102" t="s">
        <v>100</v>
      </c>
      <c r="G298" s="1102" t="s">
        <v>402</v>
      </c>
      <c r="H298" s="1102" t="s">
        <v>67</v>
      </c>
      <c r="I298" s="1102" t="s">
        <v>689</v>
      </c>
      <c r="J298" s="1102" t="s">
        <v>1490</v>
      </c>
      <c r="M298" s="1102" t="s">
        <v>68</v>
      </c>
      <c r="N298" s="1102">
        <v>46083</v>
      </c>
      <c r="O298" s="1102" t="s">
        <v>473</v>
      </c>
      <c r="P298" s="1102" t="s">
        <v>529</v>
      </c>
      <c r="Q298" s="1102" t="s">
        <v>1311</v>
      </c>
      <c r="R298" s="1102" t="s">
        <v>73</v>
      </c>
      <c r="S298" s="1102" t="s">
        <v>967</v>
      </c>
      <c r="T298" s="1102">
        <v>455</v>
      </c>
      <c r="U298" s="1102">
        <v>4320</v>
      </c>
      <c r="V298" s="1102">
        <v>1.9656</v>
      </c>
      <c r="W298" s="1102">
        <v>120</v>
      </c>
      <c r="X298" s="1102">
        <v>5</v>
      </c>
      <c r="Y298" s="1102" t="s">
        <v>75</v>
      </c>
      <c r="Z298" s="1102" t="s">
        <v>75</v>
      </c>
      <c r="AA298" s="1102" t="s">
        <v>1491</v>
      </c>
      <c r="AB298" s="1103">
        <v>46093</v>
      </c>
      <c r="AC298" s="1102">
        <v>11</v>
      </c>
      <c r="AD298" s="1102" t="s">
        <v>1492</v>
      </c>
      <c r="AF298" s="1102" t="s">
        <v>122</v>
      </c>
      <c r="AG298" s="1102" t="s">
        <v>123</v>
      </c>
      <c r="AH298" s="1102" t="s">
        <v>105</v>
      </c>
      <c r="AI298" s="1103">
        <v>46097</v>
      </c>
      <c r="AJ298" s="1103">
        <v>46100</v>
      </c>
      <c r="AK298" s="1103">
        <v>46102</v>
      </c>
      <c r="AL298" s="1103">
        <v>46134</v>
      </c>
      <c r="AM298" s="1103">
        <v>46143</v>
      </c>
      <c r="AN298" s="1103">
        <v>46144</v>
      </c>
      <c r="AO298" s="1102" t="s">
        <v>402</v>
      </c>
      <c r="AP298" s="1102" t="s">
        <v>1486</v>
      </c>
      <c r="AQ298" s="1102" t="s">
        <v>80</v>
      </c>
      <c r="AR298" s="1102" t="s">
        <v>1493</v>
      </c>
      <c r="AS298" s="1102" t="s">
        <v>1494</v>
      </c>
      <c r="AT298" s="1102" t="s">
        <v>1494</v>
      </c>
      <c r="AU298" s="1102">
        <v>42</v>
      </c>
      <c r="AW298" s="1103">
        <v>46144</v>
      </c>
      <c r="AX298" s="1102" t="s">
        <v>973</v>
      </c>
      <c r="AY298" s="1103">
        <v>46155</v>
      </c>
      <c r="AZ298" s="1102">
        <v>7</v>
      </c>
      <c r="BA298" s="1103">
        <v>46151</v>
      </c>
      <c r="BB298" s="1102">
        <v>2026</v>
      </c>
      <c r="BC298" s="1102">
        <v>5</v>
      </c>
      <c r="BD298" s="1102">
        <v>19</v>
      </c>
      <c r="BE298" s="1102">
        <v>36</v>
      </c>
      <c r="BF298" s="1102">
        <v>864</v>
      </c>
      <c r="BG298" s="1102" t="s">
        <v>85</v>
      </c>
      <c r="BH298" s="1102" t="s">
        <v>109</v>
      </c>
    </row>
    <row r="299" spans="1:60">
      <c r="A299" s="1102" t="s">
        <v>1495</v>
      </c>
      <c r="B299" s="1102" t="s">
        <v>111</v>
      </c>
      <c r="C299" s="1102" t="s">
        <v>1046</v>
      </c>
      <c r="D299" s="1102" t="s">
        <v>63</v>
      </c>
      <c r="E299" s="1102" t="s">
        <v>64</v>
      </c>
      <c r="F299" s="1102" t="s">
        <v>100</v>
      </c>
      <c r="G299" s="1102" t="s">
        <v>402</v>
      </c>
      <c r="H299" s="1102" t="s">
        <v>67</v>
      </c>
      <c r="I299" s="1102" t="s">
        <v>822</v>
      </c>
      <c r="J299" s="1102" t="s">
        <v>1047</v>
      </c>
      <c r="M299" s="1102" t="s">
        <v>68</v>
      </c>
      <c r="N299" s="1102">
        <v>46069</v>
      </c>
      <c r="O299" s="1102" t="s">
        <v>70</v>
      </c>
      <c r="P299" s="1102" t="s">
        <v>1002</v>
      </c>
      <c r="Q299" s="1102" t="s">
        <v>330</v>
      </c>
      <c r="R299" s="1102" t="s">
        <v>73</v>
      </c>
      <c r="S299" s="1102" t="s">
        <v>992</v>
      </c>
      <c r="T299" s="1102">
        <v>625</v>
      </c>
      <c r="U299" s="1102">
        <v>720</v>
      </c>
      <c r="V299" s="1102">
        <v>0.45</v>
      </c>
      <c r="W299" s="1102">
        <v>20</v>
      </c>
      <c r="X299" s="1102">
        <v>1</v>
      </c>
      <c r="Y299" s="1102" t="s">
        <v>75</v>
      </c>
      <c r="Z299" s="1102" t="s">
        <v>75</v>
      </c>
      <c r="AA299" s="1102" t="s">
        <v>1472</v>
      </c>
      <c r="AB299" s="1103">
        <v>46093</v>
      </c>
      <c r="AC299" s="1102">
        <v>11</v>
      </c>
      <c r="AD299" s="1102" t="s">
        <v>1496</v>
      </c>
      <c r="AF299" s="1102" t="s">
        <v>122</v>
      </c>
      <c r="AG299" s="1102" t="s">
        <v>123</v>
      </c>
      <c r="AH299" s="1102" t="s">
        <v>105</v>
      </c>
      <c r="AI299" s="1103">
        <v>46096</v>
      </c>
      <c r="AJ299" s="1103">
        <v>46100</v>
      </c>
      <c r="AK299" s="1103">
        <v>46103</v>
      </c>
      <c r="AL299" s="1103">
        <v>46133</v>
      </c>
      <c r="AM299" s="1103">
        <v>46151</v>
      </c>
      <c r="AN299" s="1103">
        <v>46153</v>
      </c>
      <c r="AO299" s="1102" t="s">
        <v>402</v>
      </c>
      <c r="AP299" s="1102" t="s">
        <v>1486</v>
      </c>
      <c r="AQ299" s="1102" t="s">
        <v>80</v>
      </c>
      <c r="AR299" s="1102" t="s">
        <v>1497</v>
      </c>
      <c r="AS299" s="1102" t="s">
        <v>1498</v>
      </c>
      <c r="AT299" s="1102" t="s">
        <v>1498</v>
      </c>
      <c r="AU299" s="1102">
        <v>50</v>
      </c>
      <c r="AW299" s="1103">
        <v>46153</v>
      </c>
      <c r="AX299" s="1102" t="s">
        <v>973</v>
      </c>
      <c r="AY299" s="1103">
        <v>46159</v>
      </c>
      <c r="AZ299" s="1102">
        <v>7</v>
      </c>
      <c r="BA299" s="1103">
        <v>46160</v>
      </c>
      <c r="BB299" s="1102">
        <v>2026</v>
      </c>
      <c r="BC299" s="1102">
        <v>5</v>
      </c>
      <c r="BD299" s="1102">
        <v>21</v>
      </c>
      <c r="BE299" s="1102">
        <v>36</v>
      </c>
      <c r="BF299" s="1102">
        <v>720</v>
      </c>
      <c r="BG299" s="1102" t="s">
        <v>128</v>
      </c>
      <c r="BH299" s="1102" t="s">
        <v>109</v>
      </c>
    </row>
    <row r="300" spans="1:60">
      <c r="A300" s="1102" t="s">
        <v>1499</v>
      </c>
      <c r="B300" s="1102" t="s">
        <v>111</v>
      </c>
      <c r="C300" s="1102" t="s">
        <v>1318</v>
      </c>
      <c r="D300" s="1102" t="s">
        <v>63</v>
      </c>
      <c r="E300" s="1102" t="s">
        <v>64</v>
      </c>
      <c r="F300" s="1102" t="s">
        <v>100</v>
      </c>
      <c r="G300" s="1102" t="s">
        <v>402</v>
      </c>
      <c r="H300" s="1102" t="s">
        <v>67</v>
      </c>
      <c r="I300" s="1102" t="s">
        <v>689</v>
      </c>
      <c r="J300" s="1102" t="s">
        <v>483</v>
      </c>
      <c r="M300" s="1102" t="s">
        <v>68</v>
      </c>
      <c r="N300" s="1102">
        <v>46083</v>
      </c>
      <c r="O300" s="1102" t="s">
        <v>473</v>
      </c>
      <c r="P300" s="1102" t="s">
        <v>474</v>
      </c>
      <c r="Q300" s="1102" t="s">
        <v>1319</v>
      </c>
      <c r="R300" s="1102" t="s">
        <v>73</v>
      </c>
      <c r="S300" s="1102" t="s">
        <v>967</v>
      </c>
      <c r="T300" s="1102">
        <v>460</v>
      </c>
      <c r="U300" s="1102">
        <v>864</v>
      </c>
      <c r="V300" s="1102">
        <v>0.39744000000000002</v>
      </c>
      <c r="W300" s="1102">
        <v>24</v>
      </c>
      <c r="X300" s="1102">
        <v>1</v>
      </c>
      <c r="Y300" s="1102" t="s">
        <v>75</v>
      </c>
      <c r="Z300" s="1102" t="s">
        <v>75</v>
      </c>
      <c r="AA300" s="1102" t="s">
        <v>1500</v>
      </c>
      <c r="AB300" s="1103">
        <v>46093</v>
      </c>
      <c r="AC300" s="1102">
        <v>11</v>
      </c>
      <c r="AD300" s="1102" t="s">
        <v>1501</v>
      </c>
      <c r="AF300" s="1102" t="s">
        <v>122</v>
      </c>
      <c r="AG300" s="1102" t="s">
        <v>123</v>
      </c>
      <c r="AH300" s="1102" t="s">
        <v>105</v>
      </c>
      <c r="AI300" s="1103">
        <v>46097</v>
      </c>
      <c r="AJ300" s="1103">
        <v>46100</v>
      </c>
      <c r="AK300" s="1103">
        <v>46103</v>
      </c>
      <c r="AL300" s="1103">
        <v>46134</v>
      </c>
      <c r="AM300" s="1103">
        <v>46151</v>
      </c>
      <c r="AN300" s="1103">
        <v>46153</v>
      </c>
      <c r="AO300" s="1102" t="s">
        <v>402</v>
      </c>
      <c r="AP300" s="1102" t="s">
        <v>1486</v>
      </c>
      <c r="AQ300" s="1102" t="s">
        <v>80</v>
      </c>
      <c r="AR300" s="1102" t="s">
        <v>1497</v>
      </c>
      <c r="AS300" s="1102" t="s">
        <v>1498</v>
      </c>
      <c r="AT300" s="1102" t="s">
        <v>1498</v>
      </c>
      <c r="AU300" s="1102">
        <v>50</v>
      </c>
      <c r="AW300" s="1103">
        <v>46153</v>
      </c>
      <c r="AX300" s="1102" t="s">
        <v>973</v>
      </c>
      <c r="AY300" s="1103">
        <v>46159</v>
      </c>
      <c r="AZ300" s="1102">
        <v>7</v>
      </c>
      <c r="BA300" s="1103">
        <v>46160</v>
      </c>
      <c r="BB300" s="1102">
        <v>2026</v>
      </c>
      <c r="BC300" s="1102">
        <v>5</v>
      </c>
      <c r="BD300" s="1102">
        <v>21</v>
      </c>
      <c r="BE300" s="1102">
        <v>36</v>
      </c>
      <c r="BF300" s="1102">
        <v>864</v>
      </c>
      <c r="BG300" s="1102" t="s">
        <v>85</v>
      </c>
      <c r="BH300" s="1102" t="s">
        <v>109</v>
      </c>
    </row>
    <row r="301" spans="1:60">
      <c r="A301" s="1102" t="s">
        <v>1482</v>
      </c>
      <c r="B301" s="1102" t="s">
        <v>111</v>
      </c>
      <c r="C301" s="1102" t="s">
        <v>203</v>
      </c>
      <c r="D301" s="1102" t="s">
        <v>63</v>
      </c>
      <c r="E301" s="1102" t="s">
        <v>64</v>
      </c>
      <c r="F301" s="1102" t="s">
        <v>100</v>
      </c>
      <c r="G301" s="1102" t="s">
        <v>402</v>
      </c>
      <c r="H301" s="1102" t="s">
        <v>67</v>
      </c>
      <c r="I301" s="1102" t="s">
        <v>689</v>
      </c>
      <c r="J301" s="1102" t="s">
        <v>101</v>
      </c>
      <c r="M301" s="1102" t="s">
        <v>68</v>
      </c>
      <c r="N301" s="1102">
        <v>46093</v>
      </c>
      <c r="O301" s="1102" t="s">
        <v>70</v>
      </c>
      <c r="P301" s="1102" t="s">
        <v>1483</v>
      </c>
      <c r="Q301" s="1102" t="s">
        <v>1484</v>
      </c>
      <c r="R301" s="1102" t="s">
        <v>73</v>
      </c>
      <c r="S301" s="1102" t="s">
        <v>992</v>
      </c>
      <c r="T301" s="1102">
        <v>725</v>
      </c>
      <c r="U301" s="1102">
        <v>594</v>
      </c>
      <c r="V301" s="1102">
        <v>0.43064999999999998</v>
      </c>
      <c r="W301" s="1102">
        <v>18</v>
      </c>
      <c r="X301" s="1102">
        <v>1</v>
      </c>
      <c r="Y301" s="1102" t="s">
        <v>75</v>
      </c>
      <c r="Z301" s="1102" t="s">
        <v>75</v>
      </c>
      <c r="AA301" s="1102" t="s">
        <v>1456</v>
      </c>
      <c r="AB301" s="1103">
        <v>46093</v>
      </c>
      <c r="AC301" s="1102">
        <v>11</v>
      </c>
      <c r="AD301" s="1102" t="s">
        <v>1502</v>
      </c>
      <c r="AF301" s="1102" t="s">
        <v>122</v>
      </c>
      <c r="AG301" s="1102" t="s">
        <v>123</v>
      </c>
      <c r="AH301" s="1102" t="s">
        <v>105</v>
      </c>
      <c r="AI301" s="1103">
        <v>46097</v>
      </c>
      <c r="AJ301" s="1103">
        <v>46100</v>
      </c>
      <c r="AK301" s="1103">
        <v>46103</v>
      </c>
      <c r="AL301" s="1103">
        <v>46134</v>
      </c>
      <c r="AM301" s="1103">
        <v>46151</v>
      </c>
      <c r="AN301" s="1103">
        <v>46153</v>
      </c>
      <c r="AO301" s="1102" t="s">
        <v>402</v>
      </c>
      <c r="AP301" s="1102" t="s">
        <v>1486</v>
      </c>
      <c r="AQ301" s="1102" t="s">
        <v>80</v>
      </c>
      <c r="AR301" s="1102" t="s">
        <v>1497</v>
      </c>
      <c r="AS301" s="1102" t="s">
        <v>1498</v>
      </c>
      <c r="AT301" s="1102" t="s">
        <v>1498</v>
      </c>
      <c r="AU301" s="1102">
        <v>50</v>
      </c>
      <c r="AW301" s="1103">
        <v>46153</v>
      </c>
      <c r="AX301" s="1102" t="s">
        <v>973</v>
      </c>
      <c r="AY301" s="1103">
        <v>46159</v>
      </c>
      <c r="AZ301" s="1102">
        <v>7</v>
      </c>
      <c r="BA301" s="1103">
        <v>46160</v>
      </c>
      <c r="BB301" s="1102">
        <v>2026</v>
      </c>
      <c r="BC301" s="1102">
        <v>5</v>
      </c>
      <c r="BD301" s="1102">
        <v>21</v>
      </c>
      <c r="BE301" s="1102">
        <v>33</v>
      </c>
      <c r="BF301" s="1102">
        <v>594</v>
      </c>
      <c r="BG301" s="1102" t="s">
        <v>128</v>
      </c>
      <c r="BH301" s="1102" t="s">
        <v>109</v>
      </c>
    </row>
    <row r="302" spans="1:60">
      <c r="A302" s="1102" t="s">
        <v>1503</v>
      </c>
      <c r="B302" s="1102" t="s">
        <v>111</v>
      </c>
      <c r="C302" s="1102" t="s">
        <v>1310</v>
      </c>
      <c r="D302" s="1102" t="s">
        <v>63</v>
      </c>
      <c r="E302" s="1102" t="s">
        <v>64</v>
      </c>
      <c r="F302" s="1102" t="s">
        <v>100</v>
      </c>
      <c r="G302" s="1102" t="s">
        <v>402</v>
      </c>
      <c r="H302" s="1102" t="s">
        <v>67</v>
      </c>
      <c r="I302" s="1102" t="s">
        <v>689</v>
      </c>
      <c r="J302" s="1102" t="s">
        <v>483</v>
      </c>
      <c r="M302" s="1102" t="s">
        <v>68</v>
      </c>
      <c r="N302" s="1102">
        <v>46083</v>
      </c>
      <c r="O302" s="1102" t="s">
        <v>473</v>
      </c>
      <c r="P302" s="1102" t="s">
        <v>529</v>
      </c>
      <c r="Q302" s="1102" t="s">
        <v>1311</v>
      </c>
      <c r="R302" s="1102" t="s">
        <v>73</v>
      </c>
      <c r="S302" s="1102" t="s">
        <v>967</v>
      </c>
      <c r="T302" s="1102">
        <v>455</v>
      </c>
      <c r="U302" s="1102">
        <v>6912</v>
      </c>
      <c r="V302" s="1102">
        <v>3.1449600000000002</v>
      </c>
      <c r="W302" s="1102">
        <v>192</v>
      </c>
      <c r="X302" s="1102">
        <v>8</v>
      </c>
      <c r="Y302" s="1102" t="s">
        <v>75</v>
      </c>
      <c r="Z302" s="1102" t="s">
        <v>75</v>
      </c>
      <c r="AA302" s="1102" t="s">
        <v>1504</v>
      </c>
      <c r="AB302" s="1103">
        <v>46093</v>
      </c>
      <c r="AC302" s="1102">
        <v>11</v>
      </c>
      <c r="AD302" s="1102" t="s">
        <v>1505</v>
      </c>
      <c r="AF302" s="1102" t="s">
        <v>122</v>
      </c>
      <c r="AG302" s="1102" t="s">
        <v>123</v>
      </c>
      <c r="AH302" s="1102" t="s">
        <v>105</v>
      </c>
      <c r="AI302" s="1103">
        <v>46097</v>
      </c>
      <c r="AJ302" s="1103">
        <v>46100</v>
      </c>
      <c r="AK302" s="1103">
        <v>46103</v>
      </c>
      <c r="AL302" s="1103">
        <v>46134</v>
      </c>
      <c r="AM302" s="1103">
        <v>46151</v>
      </c>
      <c r="AN302" s="1103">
        <v>46153</v>
      </c>
      <c r="AO302" s="1102" t="s">
        <v>402</v>
      </c>
      <c r="AP302" s="1102" t="s">
        <v>1486</v>
      </c>
      <c r="AQ302" s="1102" t="s">
        <v>80</v>
      </c>
      <c r="AR302" s="1102" t="s">
        <v>1497</v>
      </c>
      <c r="AS302" s="1102" t="s">
        <v>1498</v>
      </c>
      <c r="AT302" s="1102" t="s">
        <v>1498</v>
      </c>
      <c r="AU302" s="1102">
        <v>50</v>
      </c>
      <c r="AW302" s="1103">
        <v>46153</v>
      </c>
      <c r="AX302" s="1102" t="s">
        <v>973</v>
      </c>
      <c r="AY302" s="1103">
        <v>46159</v>
      </c>
      <c r="AZ302" s="1102">
        <v>7</v>
      </c>
      <c r="BA302" s="1103">
        <v>46160</v>
      </c>
      <c r="BB302" s="1102">
        <v>2026</v>
      </c>
      <c r="BC302" s="1102">
        <v>5</v>
      </c>
      <c r="BD302" s="1102">
        <v>21</v>
      </c>
      <c r="BE302" s="1102">
        <v>36</v>
      </c>
      <c r="BF302" s="1102">
        <v>864</v>
      </c>
      <c r="BG302" s="1102" t="s">
        <v>85</v>
      </c>
      <c r="BH302" s="1102" t="s">
        <v>109</v>
      </c>
    </row>
    <row r="303" spans="1:60">
      <c r="A303" s="1102" t="s">
        <v>1506</v>
      </c>
      <c r="B303" s="1102" t="s">
        <v>111</v>
      </c>
      <c r="C303" s="1102" t="s">
        <v>1326</v>
      </c>
      <c r="D303" s="1102" t="s">
        <v>113</v>
      </c>
      <c r="E303" s="1102" t="s">
        <v>64</v>
      </c>
      <c r="F303" s="1102" t="s">
        <v>65</v>
      </c>
      <c r="G303" s="1102" t="s">
        <v>402</v>
      </c>
      <c r="H303" s="1102" t="s">
        <v>67</v>
      </c>
      <c r="I303" s="1102" t="s">
        <v>822</v>
      </c>
      <c r="J303" s="1102" t="s">
        <v>1327</v>
      </c>
      <c r="M303" s="1102" t="s">
        <v>68</v>
      </c>
      <c r="N303" s="1102" t="s">
        <v>68</v>
      </c>
      <c r="O303" s="1102" t="s">
        <v>70</v>
      </c>
      <c r="P303" s="1102" t="s">
        <v>218</v>
      </c>
      <c r="Q303" s="1102" t="s">
        <v>219</v>
      </c>
      <c r="R303" s="1102" t="s">
        <v>73</v>
      </c>
      <c r="S303" s="1102" t="s">
        <v>992</v>
      </c>
      <c r="T303" s="1102">
        <v>625</v>
      </c>
      <c r="U303" s="1102">
        <v>6480</v>
      </c>
      <c r="V303" s="1102">
        <v>4.05</v>
      </c>
      <c r="W303" s="1102">
        <v>180</v>
      </c>
      <c r="X303" s="1102">
        <v>9</v>
      </c>
      <c r="Y303" s="1102" t="s">
        <v>75</v>
      </c>
      <c r="Z303" s="1102" t="s">
        <v>75</v>
      </c>
      <c r="AB303" s="1103">
        <v>46091</v>
      </c>
      <c r="AC303" s="1102">
        <v>11</v>
      </c>
      <c r="AD303" s="1102" t="s">
        <v>1507</v>
      </c>
      <c r="AF303" s="1102" t="s">
        <v>122</v>
      </c>
      <c r="AG303" s="1102" t="s">
        <v>123</v>
      </c>
      <c r="AH303" s="1102" t="s">
        <v>78</v>
      </c>
      <c r="AI303" s="1103">
        <v>46096</v>
      </c>
      <c r="AJ303" s="1103">
        <v>46095</v>
      </c>
      <c r="AK303" s="1103">
        <v>46095</v>
      </c>
      <c r="AL303" s="1103">
        <v>46146</v>
      </c>
      <c r="AM303" s="1103">
        <v>46153</v>
      </c>
      <c r="AN303" s="1103">
        <v>46159</v>
      </c>
      <c r="AO303" s="1102" t="s">
        <v>402</v>
      </c>
      <c r="AP303" s="1102" t="s">
        <v>1508</v>
      </c>
      <c r="AQ303" s="1102" t="s">
        <v>80</v>
      </c>
      <c r="AR303" s="1102" t="s">
        <v>1509</v>
      </c>
      <c r="AS303" s="1102" t="s">
        <v>1510</v>
      </c>
      <c r="AT303" s="1102" t="s">
        <v>1510</v>
      </c>
      <c r="AU303" s="1102">
        <v>64</v>
      </c>
      <c r="AW303" s="1103">
        <v>46159</v>
      </c>
      <c r="AX303" s="1102" t="s">
        <v>973</v>
      </c>
      <c r="AY303" s="1103">
        <v>46170</v>
      </c>
      <c r="AZ303" s="1102">
        <v>8</v>
      </c>
      <c r="BA303" s="1103">
        <v>46167</v>
      </c>
      <c r="BB303" s="1102">
        <v>2026</v>
      </c>
      <c r="BC303" s="1102">
        <v>5</v>
      </c>
      <c r="BD303" s="1102">
        <v>22</v>
      </c>
      <c r="BE303" s="1102">
        <v>36</v>
      </c>
      <c r="BF303" s="1102">
        <v>720</v>
      </c>
      <c r="BG303" s="1102" t="s">
        <v>128</v>
      </c>
      <c r="BH303" s="1102" t="s">
        <v>86</v>
      </c>
    </row>
    <row r="304" spans="1:60">
      <c r="A304" s="1102" t="s">
        <v>1511</v>
      </c>
      <c r="B304" s="1102" t="s">
        <v>111</v>
      </c>
      <c r="C304" s="1102" t="s">
        <v>1333</v>
      </c>
      <c r="D304" s="1102" t="s">
        <v>113</v>
      </c>
      <c r="E304" s="1102" t="s">
        <v>64</v>
      </c>
      <c r="F304" s="1102" t="s">
        <v>65</v>
      </c>
      <c r="G304" s="1102" t="s">
        <v>402</v>
      </c>
      <c r="H304" s="1102" t="s">
        <v>67</v>
      </c>
      <c r="I304" s="1102" t="s">
        <v>822</v>
      </c>
      <c r="J304" s="1102" t="s">
        <v>1327</v>
      </c>
      <c r="M304" s="1102" t="s">
        <v>68</v>
      </c>
      <c r="N304" s="1102" t="s">
        <v>68</v>
      </c>
      <c r="O304" s="1102" t="s">
        <v>70</v>
      </c>
      <c r="P304" s="1102" t="s">
        <v>1334</v>
      </c>
      <c r="Q304" s="1102" t="s">
        <v>1335</v>
      </c>
      <c r="R304" s="1102" t="s">
        <v>73</v>
      </c>
      <c r="S304" s="1102" t="s">
        <v>992</v>
      </c>
      <c r="T304" s="1102">
        <v>630</v>
      </c>
      <c r="U304" s="1102">
        <v>4320</v>
      </c>
      <c r="V304" s="1102">
        <v>2.7216</v>
      </c>
      <c r="W304" s="1102">
        <v>120</v>
      </c>
      <c r="X304" s="1102">
        <v>6</v>
      </c>
      <c r="Y304" s="1102" t="s">
        <v>75</v>
      </c>
      <c r="Z304" s="1102" t="s">
        <v>75</v>
      </c>
      <c r="AB304" s="1103">
        <v>46091</v>
      </c>
      <c r="AC304" s="1102">
        <v>11</v>
      </c>
      <c r="AD304" s="1102" t="s">
        <v>1512</v>
      </c>
      <c r="AF304" s="1102" t="s">
        <v>122</v>
      </c>
      <c r="AG304" s="1102" t="s">
        <v>123</v>
      </c>
      <c r="AH304" s="1102" t="s">
        <v>78</v>
      </c>
      <c r="AI304" s="1103">
        <v>46096</v>
      </c>
      <c r="AJ304" s="1103">
        <v>46095</v>
      </c>
      <c r="AK304" s="1103">
        <v>46095</v>
      </c>
      <c r="AL304" s="1103">
        <v>46146</v>
      </c>
      <c r="AM304" s="1103">
        <v>46153</v>
      </c>
      <c r="AN304" s="1103">
        <v>46159</v>
      </c>
      <c r="AO304" s="1102" t="s">
        <v>402</v>
      </c>
      <c r="AP304" s="1102" t="s">
        <v>1508</v>
      </c>
      <c r="AQ304" s="1102" t="s">
        <v>80</v>
      </c>
      <c r="AR304" s="1102" t="s">
        <v>1509</v>
      </c>
      <c r="AS304" s="1102" t="s">
        <v>1510</v>
      </c>
      <c r="AT304" s="1102" t="s">
        <v>1510</v>
      </c>
      <c r="AU304" s="1102">
        <v>64</v>
      </c>
      <c r="AW304" s="1103">
        <v>46159</v>
      </c>
      <c r="AX304" s="1102" t="s">
        <v>973</v>
      </c>
      <c r="AY304" s="1103">
        <v>46170</v>
      </c>
      <c r="AZ304" s="1102">
        <v>8</v>
      </c>
      <c r="BA304" s="1103">
        <v>46167</v>
      </c>
      <c r="BB304" s="1102">
        <v>2026</v>
      </c>
      <c r="BC304" s="1102">
        <v>5</v>
      </c>
      <c r="BD304" s="1102">
        <v>22</v>
      </c>
      <c r="BE304" s="1102">
        <v>36</v>
      </c>
      <c r="BF304" s="1102">
        <v>720</v>
      </c>
      <c r="BG304" s="1102" t="s">
        <v>94</v>
      </c>
      <c r="BH304" s="1102" t="s">
        <v>86</v>
      </c>
    </row>
    <row r="305" spans="1:60">
      <c r="A305" s="1102" t="s">
        <v>1513</v>
      </c>
      <c r="B305" s="1102" t="s">
        <v>111</v>
      </c>
      <c r="C305" s="1102" t="s">
        <v>1318</v>
      </c>
      <c r="D305" s="1102" t="s">
        <v>63</v>
      </c>
      <c r="E305" s="1102" t="s">
        <v>64</v>
      </c>
      <c r="F305" s="1102" t="s">
        <v>114</v>
      </c>
      <c r="G305" s="1102" t="s">
        <v>402</v>
      </c>
      <c r="H305" s="1102" t="s">
        <v>115</v>
      </c>
      <c r="I305" s="1102" t="s">
        <v>689</v>
      </c>
      <c r="J305" s="1102" t="s">
        <v>646</v>
      </c>
      <c r="M305" s="1102" t="s">
        <v>68</v>
      </c>
      <c r="N305" s="1102">
        <v>46083</v>
      </c>
      <c r="O305" s="1102" t="s">
        <v>473</v>
      </c>
      <c r="P305" s="1102" t="s">
        <v>474</v>
      </c>
      <c r="Q305" s="1102" t="s">
        <v>1319</v>
      </c>
      <c r="R305" s="1102" t="s">
        <v>73</v>
      </c>
      <c r="S305" s="1102" t="s">
        <v>967</v>
      </c>
      <c r="T305" s="1102">
        <v>460</v>
      </c>
      <c r="U305" s="1102">
        <v>1728</v>
      </c>
      <c r="V305" s="1102">
        <v>0.79488000000000003</v>
      </c>
      <c r="W305" s="1102">
        <v>48</v>
      </c>
      <c r="X305" s="1102">
        <v>2</v>
      </c>
      <c r="Y305" s="1102" t="s">
        <v>75</v>
      </c>
      <c r="Z305" s="1102" t="s">
        <v>75</v>
      </c>
      <c r="AA305" s="1102" t="s">
        <v>1514</v>
      </c>
      <c r="AB305" s="1103">
        <v>46088</v>
      </c>
      <c r="AC305" s="1102">
        <v>10</v>
      </c>
      <c r="AD305" s="1102" t="s">
        <v>1515</v>
      </c>
      <c r="AF305" s="1102" t="s">
        <v>122</v>
      </c>
      <c r="AG305" s="1102" t="s">
        <v>123</v>
      </c>
      <c r="AH305" s="1102" t="s">
        <v>124</v>
      </c>
      <c r="AI305" s="1103">
        <v>46096</v>
      </c>
      <c r="AJ305" s="1103">
        <v>46095</v>
      </c>
      <c r="AK305" s="1103">
        <v>46095</v>
      </c>
      <c r="AL305" s="1103">
        <v>46149</v>
      </c>
      <c r="AM305" s="1103">
        <v>46162</v>
      </c>
      <c r="AN305" s="1103">
        <v>46162</v>
      </c>
      <c r="AO305" s="1102" t="s">
        <v>402</v>
      </c>
      <c r="AP305" s="1102" t="s">
        <v>1508</v>
      </c>
      <c r="AQ305" s="1102" t="s">
        <v>80</v>
      </c>
      <c r="AR305" s="1102" t="s">
        <v>1516</v>
      </c>
      <c r="AS305" s="1102" t="s">
        <v>1517</v>
      </c>
      <c r="AT305" s="1102" t="s">
        <v>1517</v>
      </c>
      <c r="AU305" s="1102">
        <v>67</v>
      </c>
      <c r="AW305" s="1103">
        <v>46162</v>
      </c>
      <c r="AX305" s="1102" t="s">
        <v>973</v>
      </c>
      <c r="AY305" s="1103">
        <v>46175</v>
      </c>
      <c r="AZ305" s="1102">
        <v>9</v>
      </c>
      <c r="BA305" s="1103">
        <v>46171</v>
      </c>
      <c r="BB305" s="1102">
        <v>2026</v>
      </c>
      <c r="BC305" s="1102">
        <v>5</v>
      </c>
      <c r="BD305" s="1102">
        <v>22</v>
      </c>
      <c r="BE305" s="1102">
        <v>36</v>
      </c>
      <c r="BF305" s="1102">
        <v>864</v>
      </c>
      <c r="BG305" s="1102" t="s">
        <v>85</v>
      </c>
      <c r="BH305" s="1102" t="s">
        <v>86</v>
      </c>
    </row>
    <row r="306" spans="1:60">
      <c r="A306" s="1102" t="s">
        <v>1518</v>
      </c>
      <c r="B306" s="1102" t="s">
        <v>1519</v>
      </c>
      <c r="C306" s="1102" t="s">
        <v>1520</v>
      </c>
      <c r="D306" s="1102" t="s">
        <v>63</v>
      </c>
      <c r="E306" s="1102" t="s">
        <v>64</v>
      </c>
      <c r="F306" s="1102" t="s">
        <v>100</v>
      </c>
      <c r="G306" s="1102" t="s">
        <v>402</v>
      </c>
      <c r="H306" s="1102" t="s">
        <v>67</v>
      </c>
      <c r="I306" s="1102" t="s">
        <v>689</v>
      </c>
      <c r="J306" s="1102" t="s">
        <v>483</v>
      </c>
      <c r="M306" s="1102" t="s">
        <v>68</v>
      </c>
      <c r="N306" s="1102">
        <v>46090</v>
      </c>
      <c r="O306" s="1102" t="s">
        <v>284</v>
      </c>
      <c r="P306" s="1102" t="s">
        <v>1521</v>
      </c>
      <c r="Q306" s="1102" t="s">
        <v>1522</v>
      </c>
      <c r="R306" s="1102" t="s">
        <v>73</v>
      </c>
      <c r="S306" s="1102" t="s">
        <v>967</v>
      </c>
      <c r="T306" s="1102">
        <v>490</v>
      </c>
      <c r="U306" s="1102">
        <v>3456</v>
      </c>
      <c r="V306" s="1102">
        <v>1.6934400000000001</v>
      </c>
      <c r="W306" s="1102">
        <v>96</v>
      </c>
      <c r="X306" s="1102">
        <v>4</v>
      </c>
      <c r="Y306" s="1102" t="s">
        <v>75</v>
      </c>
      <c r="Z306" s="1102" t="s">
        <v>75</v>
      </c>
      <c r="AA306" s="1102" t="s">
        <v>1523</v>
      </c>
      <c r="AB306" s="1103">
        <v>46091</v>
      </c>
      <c r="AC306" s="1102">
        <v>11</v>
      </c>
      <c r="AD306" s="1102" t="s">
        <v>1524</v>
      </c>
      <c r="AF306" s="1102" t="s">
        <v>1525</v>
      </c>
      <c r="AG306" s="1102" t="s">
        <v>123</v>
      </c>
      <c r="AH306" s="1102" t="s">
        <v>105</v>
      </c>
      <c r="AI306" s="1103">
        <v>46100</v>
      </c>
      <c r="AJ306" s="1103">
        <v>46100</v>
      </c>
      <c r="AK306" s="1103">
        <v>46101</v>
      </c>
      <c r="AL306" s="1103">
        <v>46143</v>
      </c>
      <c r="AM306" s="1103">
        <v>46148</v>
      </c>
      <c r="AN306" s="1103">
        <v>46161</v>
      </c>
      <c r="AO306" s="1102" t="s">
        <v>402</v>
      </c>
      <c r="AP306" s="1102" t="s">
        <v>1526</v>
      </c>
      <c r="AQ306" s="1102" t="s">
        <v>161</v>
      </c>
      <c r="AR306" s="1102" t="s">
        <v>1527</v>
      </c>
      <c r="AS306" s="1102" t="s">
        <v>1528</v>
      </c>
      <c r="AT306" s="1102" t="s">
        <v>1529</v>
      </c>
      <c r="AU306" s="1102">
        <v>60</v>
      </c>
      <c r="AW306" s="1103">
        <v>46161</v>
      </c>
      <c r="AX306" s="1102" t="s">
        <v>973</v>
      </c>
      <c r="AY306" s="1103">
        <v>46175</v>
      </c>
      <c r="AZ306" s="1102">
        <v>7</v>
      </c>
      <c r="BA306" s="1103">
        <v>46168</v>
      </c>
      <c r="BB306" s="1102">
        <v>2026</v>
      </c>
      <c r="BC306" s="1102">
        <v>5</v>
      </c>
      <c r="BD306" s="1102">
        <v>22</v>
      </c>
      <c r="BE306" s="1102">
        <v>36</v>
      </c>
      <c r="BF306" s="1102">
        <v>864</v>
      </c>
      <c r="BG306" s="1102" t="s">
        <v>85</v>
      </c>
      <c r="BH306" s="1102" t="s">
        <v>109</v>
      </c>
    </row>
    <row r="307" spans="1:60">
      <c r="A307" s="1102" t="s">
        <v>1530</v>
      </c>
      <c r="B307" s="1102" t="s">
        <v>1519</v>
      </c>
      <c r="C307" s="1102" t="s">
        <v>1531</v>
      </c>
      <c r="D307" s="1102" t="s">
        <v>63</v>
      </c>
      <c r="E307" s="1102" t="s">
        <v>64</v>
      </c>
      <c r="F307" s="1102" t="s">
        <v>100</v>
      </c>
      <c r="G307" s="1102" t="s">
        <v>402</v>
      </c>
      <c r="H307" s="1102" t="s">
        <v>67</v>
      </c>
      <c r="I307" s="1102" t="s">
        <v>689</v>
      </c>
      <c r="J307" s="1102" t="s">
        <v>483</v>
      </c>
      <c r="M307" s="1102" t="s">
        <v>68</v>
      </c>
      <c r="N307" s="1102">
        <v>46090</v>
      </c>
      <c r="O307" s="1102" t="s">
        <v>284</v>
      </c>
      <c r="P307" s="1102" t="s">
        <v>1532</v>
      </c>
      <c r="Q307" s="1102" t="s">
        <v>1533</v>
      </c>
      <c r="R307" s="1102" t="s">
        <v>73</v>
      </c>
      <c r="S307" s="1102" t="s">
        <v>967</v>
      </c>
      <c r="T307" s="1102">
        <v>495</v>
      </c>
      <c r="U307" s="1102">
        <v>864</v>
      </c>
      <c r="V307" s="1102">
        <v>0.42768</v>
      </c>
      <c r="W307" s="1102">
        <v>24</v>
      </c>
      <c r="X307" s="1102">
        <v>1</v>
      </c>
      <c r="Y307" s="1102" t="s">
        <v>75</v>
      </c>
      <c r="Z307" s="1102" t="s">
        <v>75</v>
      </c>
      <c r="AA307" s="1102" t="s">
        <v>1534</v>
      </c>
      <c r="AB307" s="1103">
        <v>46091</v>
      </c>
      <c r="AC307" s="1102">
        <v>11</v>
      </c>
      <c r="AD307" s="1102" t="s">
        <v>1535</v>
      </c>
      <c r="AF307" s="1102" t="s">
        <v>1525</v>
      </c>
      <c r="AG307" s="1102" t="s">
        <v>123</v>
      </c>
      <c r="AH307" s="1102" t="s">
        <v>105</v>
      </c>
      <c r="AI307" s="1103">
        <v>46100</v>
      </c>
      <c r="AJ307" s="1103">
        <v>46100</v>
      </c>
      <c r="AK307" s="1103">
        <v>46101</v>
      </c>
      <c r="AL307" s="1103">
        <v>46143</v>
      </c>
      <c r="AM307" s="1103">
        <v>46148</v>
      </c>
      <c r="AN307" s="1103">
        <v>46161</v>
      </c>
      <c r="AO307" s="1102" t="s">
        <v>402</v>
      </c>
      <c r="AP307" s="1102" t="s">
        <v>1526</v>
      </c>
      <c r="AQ307" s="1102" t="s">
        <v>161</v>
      </c>
      <c r="AR307" s="1102" t="s">
        <v>1527</v>
      </c>
      <c r="AS307" s="1102" t="s">
        <v>1528</v>
      </c>
      <c r="AT307" s="1102" t="s">
        <v>1529</v>
      </c>
      <c r="AU307" s="1102">
        <v>60</v>
      </c>
      <c r="AW307" s="1103">
        <v>46161</v>
      </c>
      <c r="AX307" s="1102" t="s">
        <v>973</v>
      </c>
      <c r="AY307" s="1103">
        <v>46174</v>
      </c>
      <c r="AZ307" s="1102">
        <v>7</v>
      </c>
      <c r="BA307" s="1103">
        <v>46168</v>
      </c>
      <c r="BB307" s="1102">
        <v>2026</v>
      </c>
      <c r="BC307" s="1102">
        <v>5</v>
      </c>
      <c r="BD307" s="1102">
        <v>22</v>
      </c>
      <c r="BE307" s="1102">
        <v>36</v>
      </c>
      <c r="BF307" s="1102">
        <v>864</v>
      </c>
      <c r="BG307" s="1102" t="s">
        <v>85</v>
      </c>
      <c r="BH307" s="1102" t="s">
        <v>109</v>
      </c>
    </row>
    <row r="308" spans="1:60">
      <c r="A308" s="1102" t="s">
        <v>1536</v>
      </c>
      <c r="B308" s="1102" t="s">
        <v>1519</v>
      </c>
      <c r="C308" s="1102" t="s">
        <v>1531</v>
      </c>
      <c r="D308" s="1102" t="s">
        <v>63</v>
      </c>
      <c r="E308" s="1102" t="s">
        <v>144</v>
      </c>
      <c r="F308" s="1102" t="s">
        <v>145</v>
      </c>
      <c r="G308" s="1102" t="s">
        <v>402</v>
      </c>
      <c r="H308" s="1102" t="s">
        <v>538</v>
      </c>
      <c r="I308" s="1102" t="s">
        <v>689</v>
      </c>
      <c r="J308" s="1102" t="s">
        <v>1537</v>
      </c>
      <c r="K308" s="1102" t="s">
        <v>1538</v>
      </c>
      <c r="M308" s="1102" t="s">
        <v>840</v>
      </c>
      <c r="N308" s="1102">
        <v>46090</v>
      </c>
      <c r="O308" s="1102" t="s">
        <v>284</v>
      </c>
      <c r="P308" s="1102" t="s">
        <v>1532</v>
      </c>
      <c r="Q308" s="1102" t="s">
        <v>1533</v>
      </c>
      <c r="R308" s="1102" t="s">
        <v>73</v>
      </c>
      <c r="S308" s="1102" t="s">
        <v>967</v>
      </c>
      <c r="T308" s="1102">
        <v>495</v>
      </c>
      <c r="U308" s="1102">
        <v>864</v>
      </c>
      <c r="V308" s="1102">
        <v>0.42768</v>
      </c>
      <c r="W308" s="1102">
        <v>24</v>
      </c>
      <c r="X308" s="1102">
        <v>1</v>
      </c>
      <c r="Y308" s="1102" t="s">
        <v>75</v>
      </c>
      <c r="Z308" s="1102" t="s">
        <v>75</v>
      </c>
      <c r="AA308" s="1102" t="s">
        <v>1534</v>
      </c>
      <c r="AB308" s="1103">
        <v>46093</v>
      </c>
      <c r="AC308" s="1102">
        <v>11</v>
      </c>
      <c r="AD308" s="1102" t="s">
        <v>1539</v>
      </c>
      <c r="AF308" s="1102" t="s">
        <v>1525</v>
      </c>
      <c r="AG308" s="1102" t="s">
        <v>123</v>
      </c>
      <c r="AH308" s="1102" t="s">
        <v>541</v>
      </c>
      <c r="AI308" s="1103">
        <v>46101</v>
      </c>
      <c r="AJ308" s="1103">
        <v>46100</v>
      </c>
      <c r="AK308" s="1103">
        <v>46100</v>
      </c>
      <c r="AL308" s="1103">
        <v>46161</v>
      </c>
      <c r="AM308" s="1103">
        <v>46171</v>
      </c>
      <c r="AN308" s="1103">
        <v>46172</v>
      </c>
      <c r="AO308" s="1102" t="s">
        <v>402</v>
      </c>
      <c r="AP308" s="1102" t="s">
        <v>1540</v>
      </c>
      <c r="AQ308" s="1102" t="s">
        <v>161</v>
      </c>
      <c r="AR308" s="1102" t="s">
        <v>1541</v>
      </c>
      <c r="AS308" s="1102" t="s">
        <v>1542</v>
      </c>
      <c r="AT308" s="1102" t="s">
        <v>1542</v>
      </c>
      <c r="AU308" s="1102">
        <v>72</v>
      </c>
      <c r="AW308" s="1103">
        <v>46172</v>
      </c>
      <c r="AX308" s="1102" t="s">
        <v>973</v>
      </c>
      <c r="AY308" s="1103">
        <v>46177</v>
      </c>
      <c r="AZ308" s="1102">
        <v>0</v>
      </c>
      <c r="BA308" s="1103">
        <v>46172</v>
      </c>
      <c r="BB308" s="1102">
        <v>2026</v>
      </c>
      <c r="BC308" s="1102">
        <v>5</v>
      </c>
      <c r="BD308" s="1102">
        <v>22</v>
      </c>
      <c r="BE308" s="1102">
        <v>36</v>
      </c>
      <c r="BF308" s="1102">
        <v>864</v>
      </c>
      <c r="BG308" s="1102" t="s">
        <v>85</v>
      </c>
      <c r="BH308" s="1102" t="s">
        <v>109</v>
      </c>
    </row>
    <row r="309" spans="1:60">
      <c r="A309" s="1102" t="s">
        <v>1543</v>
      </c>
      <c r="B309" s="1102" t="s">
        <v>1519</v>
      </c>
      <c r="C309" s="1102" t="s">
        <v>1520</v>
      </c>
      <c r="D309" s="1102" t="s">
        <v>63</v>
      </c>
      <c r="E309" s="1102" t="s">
        <v>144</v>
      </c>
      <c r="F309" s="1102" t="s">
        <v>145</v>
      </c>
      <c r="G309" s="1102" t="s">
        <v>402</v>
      </c>
      <c r="H309" s="1102" t="s">
        <v>538</v>
      </c>
      <c r="I309" s="1102" t="s">
        <v>689</v>
      </c>
      <c r="J309" s="1102" t="s">
        <v>1537</v>
      </c>
      <c r="K309" s="1102" t="s">
        <v>1538</v>
      </c>
      <c r="M309" s="1102" t="s">
        <v>840</v>
      </c>
      <c r="N309" s="1102">
        <v>46090</v>
      </c>
      <c r="O309" s="1102" t="s">
        <v>284</v>
      </c>
      <c r="P309" s="1102" t="s">
        <v>1521</v>
      </c>
      <c r="Q309" s="1102" t="s">
        <v>1522</v>
      </c>
      <c r="R309" s="1102" t="s">
        <v>73</v>
      </c>
      <c r="S309" s="1102" t="s">
        <v>967</v>
      </c>
      <c r="T309" s="1102">
        <v>490</v>
      </c>
      <c r="U309" s="1102">
        <v>1728</v>
      </c>
      <c r="V309" s="1102">
        <v>0.84672000000000003</v>
      </c>
      <c r="W309" s="1102">
        <v>48</v>
      </c>
      <c r="X309" s="1102">
        <v>2</v>
      </c>
      <c r="Y309" s="1102" t="s">
        <v>75</v>
      </c>
      <c r="Z309" s="1102" t="s">
        <v>75</v>
      </c>
      <c r="AA309" s="1102" t="s">
        <v>1544</v>
      </c>
      <c r="AB309" s="1103">
        <v>46093</v>
      </c>
      <c r="AC309" s="1102">
        <v>11</v>
      </c>
      <c r="AD309" s="1102" t="s">
        <v>1545</v>
      </c>
      <c r="AF309" s="1102" t="s">
        <v>1525</v>
      </c>
      <c r="AG309" s="1102" t="s">
        <v>123</v>
      </c>
      <c r="AH309" s="1102" t="s">
        <v>541</v>
      </c>
      <c r="AI309" s="1103">
        <v>46101</v>
      </c>
      <c r="AJ309" s="1103">
        <v>46100</v>
      </c>
      <c r="AK309" s="1103">
        <v>46100</v>
      </c>
      <c r="AL309" s="1103">
        <v>46161</v>
      </c>
      <c r="AM309" s="1103">
        <v>46171</v>
      </c>
      <c r="AN309" s="1103">
        <v>46172</v>
      </c>
      <c r="AO309" s="1102" t="s">
        <v>402</v>
      </c>
      <c r="AP309" s="1102" t="s">
        <v>1540</v>
      </c>
      <c r="AQ309" s="1102" t="s">
        <v>161</v>
      </c>
      <c r="AR309" s="1102" t="s">
        <v>1541</v>
      </c>
      <c r="AS309" s="1102" t="s">
        <v>1546</v>
      </c>
      <c r="AT309" s="1102" t="s">
        <v>1542</v>
      </c>
      <c r="AU309" s="1102">
        <v>72</v>
      </c>
      <c r="AW309" s="1103">
        <v>46172</v>
      </c>
      <c r="AX309" s="1102" t="s">
        <v>973</v>
      </c>
      <c r="AY309" s="1103">
        <v>46177</v>
      </c>
      <c r="AZ309" s="1102">
        <v>0</v>
      </c>
      <c r="BA309" s="1103">
        <v>46172</v>
      </c>
      <c r="BB309" s="1102">
        <v>2026</v>
      </c>
      <c r="BC309" s="1102">
        <v>5</v>
      </c>
      <c r="BD309" s="1102">
        <v>22</v>
      </c>
      <c r="BE309" s="1102">
        <v>36</v>
      </c>
      <c r="BF309" s="1102">
        <v>864</v>
      </c>
      <c r="BG309" s="1102" t="s">
        <v>85</v>
      </c>
      <c r="BH309" s="1102" t="s">
        <v>109</v>
      </c>
    </row>
    <row r="310" spans="1:60">
      <c r="A310" s="1102" t="s">
        <v>1547</v>
      </c>
      <c r="B310" s="1102" t="s">
        <v>111</v>
      </c>
      <c r="C310" s="1102" t="s">
        <v>1318</v>
      </c>
      <c r="D310" s="1102" t="s">
        <v>63</v>
      </c>
      <c r="E310" s="1102" t="s">
        <v>144</v>
      </c>
      <c r="F310" s="1102" t="s">
        <v>145</v>
      </c>
      <c r="G310" s="1102" t="s">
        <v>402</v>
      </c>
      <c r="H310" s="1102" t="s">
        <v>538</v>
      </c>
      <c r="I310" s="1102" t="s">
        <v>689</v>
      </c>
      <c r="J310" s="1102" t="s">
        <v>1537</v>
      </c>
      <c r="K310" s="1102" t="s">
        <v>1538</v>
      </c>
      <c r="M310" s="1102" t="s">
        <v>840</v>
      </c>
      <c r="N310" s="1102">
        <v>46083</v>
      </c>
      <c r="O310" s="1102" t="s">
        <v>473</v>
      </c>
      <c r="P310" s="1102" t="s">
        <v>474</v>
      </c>
      <c r="Q310" s="1102" t="s">
        <v>1319</v>
      </c>
      <c r="R310" s="1102" t="s">
        <v>73</v>
      </c>
      <c r="S310" s="1102" t="s">
        <v>967</v>
      </c>
      <c r="T310" s="1102">
        <v>460</v>
      </c>
      <c r="U310" s="1102">
        <v>8640</v>
      </c>
      <c r="V310" s="1102">
        <v>3.9744000000000002</v>
      </c>
      <c r="W310" s="1102">
        <v>240</v>
      </c>
      <c r="X310" s="1102">
        <v>10</v>
      </c>
      <c r="Y310" s="1102" t="s">
        <v>75</v>
      </c>
      <c r="Z310" s="1102" t="s">
        <v>75</v>
      </c>
      <c r="AA310" s="1102" t="s">
        <v>1548</v>
      </c>
      <c r="AB310" s="1103">
        <v>46093</v>
      </c>
      <c r="AC310" s="1102">
        <v>11</v>
      </c>
      <c r="AD310" s="1102" t="s">
        <v>1549</v>
      </c>
      <c r="AF310" s="1102" t="s">
        <v>122</v>
      </c>
      <c r="AG310" s="1102" t="s">
        <v>123</v>
      </c>
      <c r="AH310" s="1102" t="s">
        <v>541</v>
      </c>
      <c r="AI310" s="1103">
        <v>46103</v>
      </c>
      <c r="AJ310" s="1103">
        <v>46102</v>
      </c>
      <c r="AK310" s="1103">
        <v>46102</v>
      </c>
      <c r="AL310" s="1103">
        <v>46161</v>
      </c>
      <c r="AM310" s="1103">
        <v>46163</v>
      </c>
      <c r="AN310" s="1103">
        <v>46163</v>
      </c>
      <c r="AO310" s="1102" t="s">
        <v>402</v>
      </c>
      <c r="AP310" s="1102" t="s">
        <v>1550</v>
      </c>
      <c r="AQ310" s="1102" t="s">
        <v>161</v>
      </c>
      <c r="AR310" s="1102" t="s">
        <v>1551</v>
      </c>
      <c r="AS310" s="1102" t="s">
        <v>1552</v>
      </c>
      <c r="AT310" s="1102" t="s">
        <v>1553</v>
      </c>
      <c r="AU310" s="1102">
        <v>61</v>
      </c>
      <c r="AW310" s="1103">
        <v>46163</v>
      </c>
      <c r="AX310" s="1102" t="s">
        <v>973</v>
      </c>
      <c r="AY310" s="1103">
        <v>46177</v>
      </c>
      <c r="AZ310" s="1102">
        <v>0</v>
      </c>
      <c r="BA310" s="1103">
        <v>46163</v>
      </c>
      <c r="BB310" s="1102">
        <v>2026</v>
      </c>
      <c r="BC310" s="1102">
        <v>5</v>
      </c>
      <c r="BD310" s="1102">
        <v>21</v>
      </c>
      <c r="BE310" s="1102">
        <v>36</v>
      </c>
      <c r="BF310" s="1102">
        <v>864</v>
      </c>
      <c r="BG310" s="1102" t="s">
        <v>85</v>
      </c>
      <c r="BH310" s="1102" t="s">
        <v>109</v>
      </c>
    </row>
    <row r="311" spans="1:60">
      <c r="A311" s="1102" t="s">
        <v>1554</v>
      </c>
      <c r="B311" s="1102" t="s">
        <v>1519</v>
      </c>
      <c r="C311" s="1102" t="s">
        <v>1531</v>
      </c>
      <c r="D311" s="1102" t="s">
        <v>63</v>
      </c>
      <c r="E311" s="1102" t="s">
        <v>64</v>
      </c>
      <c r="F311" s="1102" t="s">
        <v>310</v>
      </c>
      <c r="G311" s="1102" t="s">
        <v>402</v>
      </c>
      <c r="H311" s="1102" t="s">
        <v>311</v>
      </c>
      <c r="I311" s="1102" t="s">
        <v>689</v>
      </c>
      <c r="J311" s="1102" t="s">
        <v>1342</v>
      </c>
      <c r="M311" s="1102" t="s">
        <v>68</v>
      </c>
      <c r="N311" s="1102">
        <v>46090</v>
      </c>
      <c r="O311" s="1102" t="s">
        <v>284</v>
      </c>
      <c r="P311" s="1102" t="s">
        <v>1532</v>
      </c>
      <c r="Q311" s="1102" t="s">
        <v>1533</v>
      </c>
      <c r="R311" s="1102" t="s">
        <v>73</v>
      </c>
      <c r="S311" s="1102" t="s">
        <v>967</v>
      </c>
      <c r="T311" s="1102">
        <v>495</v>
      </c>
      <c r="U311" s="1102">
        <v>5184</v>
      </c>
      <c r="V311" s="1102">
        <v>2.5660799999999999</v>
      </c>
      <c r="W311" s="1102">
        <v>144</v>
      </c>
      <c r="X311" s="1102">
        <v>6</v>
      </c>
      <c r="Y311" s="1102" t="s">
        <v>75</v>
      </c>
      <c r="Z311" s="1102" t="s">
        <v>75</v>
      </c>
      <c r="AB311" s="1103">
        <v>46091</v>
      </c>
      <c r="AC311" s="1102">
        <v>11</v>
      </c>
      <c r="AD311" s="1102" t="s">
        <v>1555</v>
      </c>
      <c r="AF311" s="1102" t="s">
        <v>122</v>
      </c>
      <c r="AG311" s="1102" t="s">
        <v>123</v>
      </c>
      <c r="AH311" s="1102" t="s">
        <v>314</v>
      </c>
      <c r="AI311" s="1103">
        <v>46096</v>
      </c>
      <c r="AJ311" s="1103">
        <v>46095</v>
      </c>
      <c r="AK311" s="1103">
        <v>46095</v>
      </c>
      <c r="AL311" s="1103">
        <v>46141</v>
      </c>
      <c r="AM311" s="1103">
        <v>46155</v>
      </c>
      <c r="AN311" s="1103">
        <v>46155</v>
      </c>
      <c r="AO311" s="1102" t="s">
        <v>402</v>
      </c>
      <c r="AP311" s="1102" t="s">
        <v>1508</v>
      </c>
      <c r="AQ311" s="1102" t="s">
        <v>80</v>
      </c>
      <c r="AR311" s="1102" t="s">
        <v>1556</v>
      </c>
      <c r="AS311" s="1102" t="s">
        <v>1557</v>
      </c>
      <c r="AT311" s="1102" t="s">
        <v>1557</v>
      </c>
      <c r="AU311" s="1102">
        <v>60</v>
      </c>
      <c r="AW311" s="1103">
        <v>46155</v>
      </c>
      <c r="AX311" s="1102" t="s">
        <v>973</v>
      </c>
      <c r="AY311" s="1103">
        <v>46168</v>
      </c>
      <c r="AZ311" s="1102">
        <v>13</v>
      </c>
      <c r="BA311" s="1103">
        <v>46168</v>
      </c>
      <c r="BB311" s="1102">
        <v>2026</v>
      </c>
      <c r="BC311" s="1102">
        <v>5</v>
      </c>
      <c r="BD311" s="1102">
        <v>22</v>
      </c>
      <c r="BE311" s="1102">
        <v>36</v>
      </c>
      <c r="BF311" s="1102">
        <v>864</v>
      </c>
      <c r="BG311" s="1102" t="s">
        <v>85</v>
      </c>
      <c r="BH311" s="1102" t="s">
        <v>86</v>
      </c>
    </row>
    <row r="312" spans="1:60">
      <c r="A312" s="1102" t="s">
        <v>1558</v>
      </c>
      <c r="B312" s="1102" t="s">
        <v>1519</v>
      </c>
      <c r="C312" s="1102" t="s">
        <v>1520</v>
      </c>
      <c r="D312" s="1102" t="s">
        <v>63</v>
      </c>
      <c r="E312" s="1102" t="s">
        <v>64</v>
      </c>
      <c r="F312" s="1102" t="s">
        <v>310</v>
      </c>
      <c r="G312" s="1102" t="s">
        <v>402</v>
      </c>
      <c r="H312" s="1102" t="s">
        <v>311</v>
      </c>
      <c r="I312" s="1102" t="s">
        <v>689</v>
      </c>
      <c r="J312" s="1102" t="s">
        <v>1559</v>
      </c>
      <c r="M312" s="1102" t="s">
        <v>68</v>
      </c>
      <c r="N312" s="1102">
        <v>46090</v>
      </c>
      <c r="O312" s="1102" t="s">
        <v>284</v>
      </c>
      <c r="P312" s="1102" t="s">
        <v>1521</v>
      </c>
      <c r="Q312" s="1102" t="s">
        <v>1522</v>
      </c>
      <c r="R312" s="1102" t="s">
        <v>73</v>
      </c>
      <c r="S312" s="1102" t="s">
        <v>967</v>
      </c>
      <c r="T312" s="1102">
        <v>490</v>
      </c>
      <c r="U312" s="1102">
        <v>2592</v>
      </c>
      <c r="V312" s="1102">
        <v>1.2700800000000001</v>
      </c>
      <c r="W312" s="1102">
        <v>72</v>
      </c>
      <c r="X312" s="1102">
        <v>3</v>
      </c>
      <c r="Y312" s="1102" t="s">
        <v>75</v>
      </c>
      <c r="Z312" s="1102" t="s">
        <v>75</v>
      </c>
      <c r="AB312" s="1103">
        <v>46093</v>
      </c>
      <c r="AC312" s="1102">
        <v>11</v>
      </c>
      <c r="AD312" s="1102" t="s">
        <v>1560</v>
      </c>
      <c r="AF312" s="1102" t="s">
        <v>122</v>
      </c>
      <c r="AG312" s="1102" t="s">
        <v>123</v>
      </c>
      <c r="AH312" s="1102" t="s">
        <v>1561</v>
      </c>
      <c r="AI312" s="1103">
        <v>46099</v>
      </c>
      <c r="AJ312" s="1103">
        <v>46099</v>
      </c>
      <c r="AK312" s="1103">
        <v>46100</v>
      </c>
      <c r="AL312" s="1103">
        <v>46157</v>
      </c>
      <c r="AM312" s="1103">
        <v>46159</v>
      </c>
      <c r="AN312" s="1103">
        <v>46158</v>
      </c>
      <c r="AO312" s="1102" t="s">
        <v>402</v>
      </c>
      <c r="AP312" s="1102" t="s">
        <v>1562</v>
      </c>
      <c r="AQ312" s="1102" t="s">
        <v>80</v>
      </c>
      <c r="AR312" s="1102" t="s">
        <v>1563</v>
      </c>
      <c r="AS312" s="1102" t="s">
        <v>1564</v>
      </c>
      <c r="AT312" s="1102" t="s">
        <v>1564</v>
      </c>
      <c r="AU312" s="1102">
        <v>58</v>
      </c>
      <c r="AW312" s="1103">
        <v>46158</v>
      </c>
      <c r="AX312" s="1102" t="s">
        <v>973</v>
      </c>
      <c r="AY312" s="1103">
        <v>46170</v>
      </c>
      <c r="AZ312" s="1102">
        <v>13</v>
      </c>
      <c r="BA312" s="1103">
        <v>46171</v>
      </c>
      <c r="BB312" s="1102">
        <v>2026</v>
      </c>
      <c r="BC312" s="1102">
        <v>5</v>
      </c>
      <c r="BD312" s="1102">
        <v>22</v>
      </c>
      <c r="BE312" s="1102">
        <v>36</v>
      </c>
      <c r="BF312" s="1102">
        <v>864</v>
      </c>
      <c r="BG312" s="1102" t="s">
        <v>85</v>
      </c>
      <c r="BH312" s="1102" t="s">
        <v>86</v>
      </c>
    </row>
    <row r="313" spans="1:60">
      <c r="A313" s="1102" t="s">
        <v>1565</v>
      </c>
      <c r="B313" s="1102" t="s">
        <v>1566</v>
      </c>
      <c r="C313" s="1102" t="s">
        <v>1567</v>
      </c>
      <c r="D313" s="1102" t="s">
        <v>63</v>
      </c>
      <c r="E313" s="1102" t="s">
        <v>64</v>
      </c>
      <c r="F313" s="1102" t="s">
        <v>100</v>
      </c>
      <c r="G313" s="1102" t="s">
        <v>402</v>
      </c>
      <c r="H313" s="1102" t="s">
        <v>67</v>
      </c>
      <c r="I313" s="1102" t="s">
        <v>689</v>
      </c>
      <c r="J313" s="1102" t="s">
        <v>1568</v>
      </c>
      <c r="M313" s="1102" t="s">
        <v>68</v>
      </c>
      <c r="N313" s="1102">
        <v>46090</v>
      </c>
      <c r="O313" s="1102" t="s">
        <v>284</v>
      </c>
      <c r="P313" s="1102" t="s">
        <v>1569</v>
      </c>
      <c r="Q313" s="1102" t="s">
        <v>1570</v>
      </c>
      <c r="R313" s="1102" t="s">
        <v>73</v>
      </c>
      <c r="S313" s="1102" t="s">
        <v>992</v>
      </c>
      <c r="T313" s="1102">
        <v>650</v>
      </c>
      <c r="U313" s="1102">
        <v>4320</v>
      </c>
      <c r="V313" s="1102">
        <v>2.8079999999999998</v>
      </c>
      <c r="W313" s="1102">
        <v>120</v>
      </c>
      <c r="X313" s="1102">
        <v>6</v>
      </c>
      <c r="Y313" s="1102" t="s">
        <v>75</v>
      </c>
      <c r="Z313" s="1102" t="s">
        <v>75</v>
      </c>
      <c r="AA313" s="1102" t="s">
        <v>1571</v>
      </c>
      <c r="AB313" s="1103">
        <v>46093</v>
      </c>
      <c r="AC313" s="1102">
        <v>11</v>
      </c>
      <c r="AD313" s="1102" t="s">
        <v>1572</v>
      </c>
      <c r="AF313" s="1102" t="s">
        <v>1525</v>
      </c>
      <c r="AG313" s="1102" t="s">
        <v>123</v>
      </c>
      <c r="AH313" s="1102" t="s">
        <v>105</v>
      </c>
      <c r="AI313" s="1103">
        <v>46100</v>
      </c>
      <c r="AJ313" s="1103">
        <v>46100</v>
      </c>
      <c r="AK313" s="1103">
        <v>46101</v>
      </c>
      <c r="AL313" s="1103">
        <v>46144</v>
      </c>
      <c r="AM313" s="1103">
        <v>46159</v>
      </c>
      <c r="AN313" s="1103">
        <v>46159</v>
      </c>
      <c r="AO313" s="1102" t="s">
        <v>402</v>
      </c>
      <c r="AP313" s="1102" t="s">
        <v>1526</v>
      </c>
      <c r="AQ313" s="1102" t="s">
        <v>161</v>
      </c>
      <c r="AR313" s="1102" t="s">
        <v>1573</v>
      </c>
      <c r="AS313" s="1102" t="s">
        <v>1574</v>
      </c>
      <c r="AT313" s="1102" t="s">
        <v>1575</v>
      </c>
      <c r="AU313" s="1102">
        <v>58</v>
      </c>
      <c r="AW313" s="1103">
        <v>46159</v>
      </c>
      <c r="AX313" s="1102" t="s">
        <v>973</v>
      </c>
      <c r="AY313" s="1103">
        <v>46175</v>
      </c>
      <c r="AZ313" s="1102">
        <v>7</v>
      </c>
      <c r="BA313" s="1103">
        <v>46166</v>
      </c>
      <c r="BB313" s="1102">
        <v>2026</v>
      </c>
      <c r="BC313" s="1102">
        <v>5</v>
      </c>
      <c r="BD313" s="1102">
        <v>21</v>
      </c>
      <c r="BE313" s="1102">
        <v>36</v>
      </c>
      <c r="BF313" s="1102">
        <v>720</v>
      </c>
      <c r="BG313" s="1102" t="s">
        <v>108</v>
      </c>
      <c r="BH313" s="1102" t="s">
        <v>109</v>
      </c>
    </row>
    <row r="314" spans="1:60">
      <c r="A314" s="1102" t="s">
        <v>1576</v>
      </c>
      <c r="B314" s="1102" t="s">
        <v>1566</v>
      </c>
      <c r="C314" s="1102" t="s">
        <v>1567</v>
      </c>
      <c r="D314" s="1102" t="s">
        <v>63</v>
      </c>
      <c r="E314" s="1102" t="s">
        <v>64</v>
      </c>
      <c r="F314" s="1102" t="s">
        <v>100</v>
      </c>
      <c r="G314" s="1102" t="s">
        <v>402</v>
      </c>
      <c r="H314" s="1102" t="s">
        <v>67</v>
      </c>
      <c r="I314" s="1102" t="s">
        <v>689</v>
      </c>
      <c r="J314" s="1102" t="s">
        <v>1568</v>
      </c>
      <c r="M314" s="1102" t="s">
        <v>68</v>
      </c>
      <c r="N314" s="1102">
        <v>46097</v>
      </c>
      <c r="O314" s="1102" t="s">
        <v>284</v>
      </c>
      <c r="P314" s="1102" t="s">
        <v>1569</v>
      </c>
      <c r="Q314" s="1102" t="s">
        <v>1570</v>
      </c>
      <c r="R314" s="1102" t="s">
        <v>73</v>
      </c>
      <c r="S314" s="1102" t="s">
        <v>992</v>
      </c>
      <c r="T314" s="1102">
        <v>650</v>
      </c>
      <c r="U314" s="1102">
        <v>5760</v>
      </c>
      <c r="V314" s="1102">
        <v>3.7440000000000002</v>
      </c>
      <c r="W314" s="1102">
        <v>160</v>
      </c>
      <c r="X314" s="1102">
        <v>8</v>
      </c>
      <c r="Y314" s="1102" t="s">
        <v>75</v>
      </c>
      <c r="Z314" s="1102" t="s">
        <v>75</v>
      </c>
      <c r="AA314" s="1102" t="s">
        <v>1577</v>
      </c>
      <c r="AB314" s="1103">
        <v>46095</v>
      </c>
      <c r="AC314" s="1102">
        <v>11</v>
      </c>
      <c r="AD314" s="1102" t="s">
        <v>1578</v>
      </c>
      <c r="AF314" s="1102" t="s">
        <v>1525</v>
      </c>
      <c r="AG314" s="1102" t="s">
        <v>123</v>
      </c>
      <c r="AH314" s="1102" t="s">
        <v>105</v>
      </c>
      <c r="AI314" s="1103">
        <v>46100</v>
      </c>
      <c r="AJ314" s="1103">
        <v>46100</v>
      </c>
      <c r="AK314" s="1103">
        <v>46101</v>
      </c>
      <c r="AL314" s="1103">
        <v>46144</v>
      </c>
      <c r="AM314" s="1103">
        <v>46159</v>
      </c>
      <c r="AN314" s="1103">
        <v>46159</v>
      </c>
      <c r="AO314" s="1102" t="s">
        <v>402</v>
      </c>
      <c r="AP314" s="1102" t="s">
        <v>1526</v>
      </c>
      <c r="AQ314" s="1102" t="s">
        <v>161</v>
      </c>
      <c r="AR314" s="1102" t="s">
        <v>1579</v>
      </c>
      <c r="AS314" s="1102" t="s">
        <v>1580</v>
      </c>
      <c r="AT314" s="1102" t="s">
        <v>1581</v>
      </c>
      <c r="AU314" s="1102">
        <v>58</v>
      </c>
      <c r="AW314" s="1103">
        <v>46159</v>
      </c>
      <c r="AX314" s="1102" t="s">
        <v>973</v>
      </c>
      <c r="AY314" s="1103">
        <v>46175</v>
      </c>
      <c r="AZ314" s="1102">
        <v>7</v>
      </c>
      <c r="BA314" s="1103">
        <v>46166</v>
      </c>
      <c r="BB314" s="1102">
        <v>2026</v>
      </c>
      <c r="BC314" s="1102">
        <v>5</v>
      </c>
      <c r="BD314" s="1102">
        <v>21</v>
      </c>
      <c r="BE314" s="1102">
        <v>36</v>
      </c>
      <c r="BF314" s="1102">
        <v>720</v>
      </c>
      <c r="BG314" s="1102" t="s">
        <v>108</v>
      </c>
      <c r="BH314" s="1102" t="s">
        <v>109</v>
      </c>
    </row>
    <row r="315" spans="1:60">
      <c r="A315" s="1102" t="s">
        <v>1582</v>
      </c>
      <c r="B315" s="1102" t="s">
        <v>1566</v>
      </c>
      <c r="C315" s="1102" t="s">
        <v>1583</v>
      </c>
      <c r="D315" s="1102" t="s">
        <v>63</v>
      </c>
      <c r="E315" s="1102" t="s">
        <v>64</v>
      </c>
      <c r="F315" s="1102" t="s">
        <v>100</v>
      </c>
      <c r="G315" s="1102" t="s">
        <v>402</v>
      </c>
      <c r="H315" s="1102" t="s">
        <v>67</v>
      </c>
      <c r="I315" s="1102" t="s">
        <v>689</v>
      </c>
      <c r="J315" s="1102" t="s">
        <v>1568</v>
      </c>
      <c r="M315" s="1102" t="s">
        <v>68</v>
      </c>
      <c r="N315" s="1102">
        <v>46097</v>
      </c>
      <c r="O315" s="1102" t="s">
        <v>284</v>
      </c>
      <c r="P315" s="1102" t="s">
        <v>1584</v>
      </c>
      <c r="Q315" s="1102" t="s">
        <v>1585</v>
      </c>
      <c r="R315" s="1102" t="s">
        <v>73</v>
      </c>
      <c r="S315" s="1102" t="s">
        <v>992</v>
      </c>
      <c r="T315" s="1102">
        <v>645</v>
      </c>
      <c r="U315" s="1102">
        <v>1440</v>
      </c>
      <c r="V315" s="1102">
        <v>0.92879999999999996</v>
      </c>
      <c r="W315" s="1102">
        <v>40</v>
      </c>
      <c r="X315" s="1102">
        <v>2</v>
      </c>
      <c r="Y315" s="1102" t="s">
        <v>75</v>
      </c>
      <c r="Z315" s="1102" t="s">
        <v>75</v>
      </c>
      <c r="AA315" s="1102" t="s">
        <v>1577</v>
      </c>
      <c r="AB315" s="1103">
        <v>46095</v>
      </c>
      <c r="AC315" s="1102">
        <v>11</v>
      </c>
      <c r="AD315" s="1102" t="s">
        <v>1586</v>
      </c>
      <c r="AF315" s="1102" t="s">
        <v>1525</v>
      </c>
      <c r="AG315" s="1102" t="s">
        <v>123</v>
      </c>
      <c r="AH315" s="1102" t="s">
        <v>105</v>
      </c>
      <c r="AI315" s="1103">
        <v>46100</v>
      </c>
      <c r="AJ315" s="1103">
        <v>46100</v>
      </c>
      <c r="AK315" s="1103">
        <v>46101</v>
      </c>
      <c r="AL315" s="1103">
        <v>46144</v>
      </c>
      <c r="AM315" s="1103">
        <v>46159</v>
      </c>
      <c r="AN315" s="1103">
        <v>46159</v>
      </c>
      <c r="AO315" s="1102" t="s">
        <v>402</v>
      </c>
      <c r="AP315" s="1102" t="s">
        <v>1526</v>
      </c>
      <c r="AQ315" s="1102" t="s">
        <v>161</v>
      </c>
      <c r="AR315" s="1102" t="s">
        <v>1579</v>
      </c>
      <c r="AS315" s="1102" t="s">
        <v>1580</v>
      </c>
      <c r="AT315" s="1102" t="s">
        <v>1581</v>
      </c>
      <c r="AU315" s="1102">
        <v>58</v>
      </c>
      <c r="AW315" s="1103">
        <v>46159</v>
      </c>
      <c r="AX315" s="1102" t="s">
        <v>973</v>
      </c>
      <c r="AY315" s="1103">
        <v>46175</v>
      </c>
      <c r="AZ315" s="1102">
        <v>7</v>
      </c>
      <c r="BA315" s="1103">
        <v>46166</v>
      </c>
      <c r="BB315" s="1102">
        <v>2026</v>
      </c>
      <c r="BC315" s="1102">
        <v>5</v>
      </c>
      <c r="BD315" s="1102">
        <v>21</v>
      </c>
      <c r="BE315" s="1102">
        <v>36</v>
      </c>
      <c r="BF315" s="1102">
        <v>720</v>
      </c>
      <c r="BG315" s="1102" t="s">
        <v>108</v>
      </c>
      <c r="BH315" s="1102" t="s">
        <v>109</v>
      </c>
    </row>
    <row r="316" spans="1:60">
      <c r="A316" s="1102" t="s">
        <v>1587</v>
      </c>
      <c r="B316" s="1102" t="s">
        <v>111</v>
      </c>
      <c r="C316" s="1102" t="s">
        <v>991</v>
      </c>
      <c r="D316" s="1102" t="s">
        <v>63</v>
      </c>
      <c r="E316" s="1102" t="s">
        <v>64</v>
      </c>
      <c r="F316" s="1102" t="s">
        <v>100</v>
      </c>
      <c r="G316" s="1102" t="s">
        <v>402</v>
      </c>
      <c r="H316" s="1102" t="s">
        <v>67</v>
      </c>
      <c r="I316" s="1102" t="s">
        <v>68</v>
      </c>
      <c r="J316" s="1102" t="s">
        <v>1588</v>
      </c>
      <c r="M316" s="1102" t="s">
        <v>68</v>
      </c>
      <c r="N316" s="1102">
        <v>46048</v>
      </c>
      <c r="O316" s="1102" t="s">
        <v>132</v>
      </c>
      <c r="P316" s="1102" t="s">
        <v>133</v>
      </c>
      <c r="Q316" s="1102" t="s">
        <v>134</v>
      </c>
      <c r="R316" s="1102" t="s">
        <v>73</v>
      </c>
      <c r="S316" s="1102" t="s">
        <v>992</v>
      </c>
      <c r="T316" s="1102">
        <v>720</v>
      </c>
      <c r="U316" s="1102">
        <v>1188</v>
      </c>
      <c r="V316" s="1102">
        <v>0.85536000000000001</v>
      </c>
      <c r="W316" s="1102">
        <v>36</v>
      </c>
      <c r="X316" s="1102">
        <v>2</v>
      </c>
      <c r="Y316" s="1102" t="s">
        <v>75</v>
      </c>
      <c r="Z316" s="1102" t="s">
        <v>75</v>
      </c>
      <c r="AB316" s="1103">
        <v>46095</v>
      </c>
      <c r="AC316" s="1102">
        <v>11</v>
      </c>
      <c r="AD316" s="1102" t="s">
        <v>1589</v>
      </c>
      <c r="AF316" s="1102" t="s">
        <v>122</v>
      </c>
      <c r="AG316" s="1102" t="s">
        <v>123</v>
      </c>
      <c r="AH316" s="1102" t="s">
        <v>105</v>
      </c>
      <c r="AI316" s="1103">
        <v>46099</v>
      </c>
      <c r="AJ316" s="1103">
        <v>46098</v>
      </c>
      <c r="AK316" s="1103">
        <v>46100</v>
      </c>
      <c r="AL316" s="1103">
        <v>46149</v>
      </c>
      <c r="AM316" s="1103">
        <v>46149</v>
      </c>
      <c r="AN316" s="1103">
        <v>46149</v>
      </c>
      <c r="AO316" s="1102" t="s">
        <v>402</v>
      </c>
      <c r="AP316" s="1102" t="s">
        <v>1590</v>
      </c>
      <c r="AQ316" s="1102" t="s">
        <v>161</v>
      </c>
      <c r="AR316" s="1102" t="s">
        <v>1591</v>
      </c>
      <c r="AS316" s="1102">
        <v>267391376</v>
      </c>
      <c r="AT316" s="1102">
        <v>267391376</v>
      </c>
      <c r="AU316" s="1102">
        <v>49</v>
      </c>
      <c r="AW316" s="1103">
        <v>46149</v>
      </c>
      <c r="AX316" s="1102" t="s">
        <v>973</v>
      </c>
      <c r="AY316" s="1103">
        <v>46162</v>
      </c>
      <c r="AZ316" s="1102">
        <v>7</v>
      </c>
      <c r="BA316" s="1103">
        <v>46156</v>
      </c>
      <c r="BB316" s="1102">
        <v>2026</v>
      </c>
      <c r="BC316" s="1102">
        <v>5</v>
      </c>
      <c r="BD316" s="1102">
        <v>20</v>
      </c>
      <c r="BE316" s="1102">
        <v>33</v>
      </c>
      <c r="BF316" s="1102">
        <v>594</v>
      </c>
      <c r="BG316" s="1102" t="s">
        <v>108</v>
      </c>
      <c r="BH316" s="1102" t="s">
        <v>109</v>
      </c>
    </row>
    <row r="317" spans="1:60">
      <c r="A317" s="1102" t="s">
        <v>1592</v>
      </c>
      <c r="B317" s="1102" t="s">
        <v>61</v>
      </c>
      <c r="C317" s="1102" t="s">
        <v>1593</v>
      </c>
      <c r="D317" s="1102" t="s">
        <v>63</v>
      </c>
      <c r="E317" s="1102" t="s">
        <v>64</v>
      </c>
      <c r="F317" s="1102" t="s">
        <v>65</v>
      </c>
      <c r="G317" s="1102" t="s">
        <v>402</v>
      </c>
      <c r="H317" s="1102" t="s">
        <v>67</v>
      </c>
      <c r="I317" s="1102" t="s">
        <v>689</v>
      </c>
      <c r="J317" s="1102" t="s">
        <v>1568</v>
      </c>
      <c r="M317" s="1102" t="s">
        <v>68</v>
      </c>
      <c r="N317" s="1102">
        <v>46083</v>
      </c>
      <c r="O317" s="1102" t="s">
        <v>70</v>
      </c>
      <c r="P317" s="1102" t="s">
        <v>71</v>
      </c>
      <c r="Q317" s="1102" t="s">
        <v>72</v>
      </c>
      <c r="R317" s="1102" t="s">
        <v>73</v>
      </c>
      <c r="S317" s="1102" t="s">
        <v>967</v>
      </c>
      <c r="T317" s="1102">
        <v>500</v>
      </c>
      <c r="U317" s="1102">
        <v>6912</v>
      </c>
      <c r="V317" s="1102">
        <v>3.456</v>
      </c>
      <c r="W317" s="1102">
        <v>192</v>
      </c>
      <c r="X317" s="1102">
        <v>8</v>
      </c>
      <c r="Y317" s="1102" t="s">
        <v>75</v>
      </c>
      <c r="Z317" s="1102" t="s">
        <v>75</v>
      </c>
      <c r="AA317" s="1102" t="s">
        <v>1594</v>
      </c>
      <c r="AB317" s="1103">
        <v>46092</v>
      </c>
      <c r="AC317" s="1102">
        <v>11</v>
      </c>
      <c r="AD317" s="1102" t="s">
        <v>1595</v>
      </c>
      <c r="AF317" s="1102" t="s">
        <v>77</v>
      </c>
      <c r="AG317" s="1102" t="s">
        <v>61</v>
      </c>
      <c r="AH317" s="1102" t="s">
        <v>356</v>
      </c>
      <c r="AI317" s="1103">
        <v>46098</v>
      </c>
      <c r="AJ317" s="1103">
        <v>46098</v>
      </c>
      <c r="AK317" s="1103">
        <v>46098</v>
      </c>
      <c r="AL317" s="1103">
        <v>46147</v>
      </c>
      <c r="AM317" s="1103">
        <v>46144</v>
      </c>
      <c r="AN317" s="1103">
        <v>46144</v>
      </c>
      <c r="AO317" s="1102" t="s">
        <v>402</v>
      </c>
      <c r="AP317" s="1102" t="s">
        <v>1596</v>
      </c>
      <c r="AQ317" s="1102" t="s">
        <v>161</v>
      </c>
      <c r="AR317" s="1102" t="s">
        <v>986</v>
      </c>
      <c r="AS317" s="1102" t="s">
        <v>1597</v>
      </c>
      <c r="AT317" s="1102">
        <v>267064335</v>
      </c>
      <c r="AU317" s="1102">
        <v>46</v>
      </c>
      <c r="AW317" s="1103">
        <v>46144</v>
      </c>
      <c r="AX317" s="1102" t="s">
        <v>973</v>
      </c>
      <c r="AY317" s="1103">
        <v>46157</v>
      </c>
      <c r="AZ317" s="1102">
        <v>8</v>
      </c>
      <c r="BA317" s="1103">
        <v>46152</v>
      </c>
      <c r="BB317" s="1102">
        <v>2026</v>
      </c>
      <c r="BC317" s="1102">
        <v>5</v>
      </c>
      <c r="BD317" s="1102">
        <v>19</v>
      </c>
      <c r="BE317" s="1102">
        <v>36</v>
      </c>
      <c r="BF317" s="1102">
        <v>864</v>
      </c>
      <c r="BG317" s="1102" t="s">
        <v>85</v>
      </c>
      <c r="BH317" s="1102" t="s">
        <v>109</v>
      </c>
    </row>
    <row r="318" spans="1:60">
      <c r="A318" s="1102" t="s">
        <v>1598</v>
      </c>
      <c r="B318" s="1102" t="s">
        <v>61</v>
      </c>
      <c r="C318" s="1102" t="s">
        <v>1593</v>
      </c>
      <c r="D318" s="1102" t="s">
        <v>63</v>
      </c>
      <c r="E318" s="1102" t="s">
        <v>144</v>
      </c>
      <c r="F318" s="1102" t="s">
        <v>145</v>
      </c>
      <c r="G318" s="1102" t="s">
        <v>402</v>
      </c>
      <c r="H318" s="1102" t="s">
        <v>868</v>
      </c>
      <c r="I318" s="1102" t="s">
        <v>689</v>
      </c>
      <c r="J318" s="1102" t="s">
        <v>147</v>
      </c>
      <c r="K318" s="1102" t="s">
        <v>870</v>
      </c>
      <c r="M318" s="1102" t="s">
        <v>840</v>
      </c>
      <c r="N318" s="1102">
        <v>46090</v>
      </c>
      <c r="O318" s="1102" t="s">
        <v>70</v>
      </c>
      <c r="P318" s="1102" t="s">
        <v>71</v>
      </c>
      <c r="Q318" s="1102" t="s">
        <v>72</v>
      </c>
      <c r="R318" s="1102" t="s">
        <v>73</v>
      </c>
      <c r="S318" s="1102" t="s">
        <v>967</v>
      </c>
      <c r="T318" s="1102">
        <v>500</v>
      </c>
      <c r="U318" s="1102">
        <v>1728</v>
      </c>
      <c r="V318" s="1102">
        <v>0.86399999999999999</v>
      </c>
      <c r="W318" s="1102">
        <v>48</v>
      </c>
      <c r="X318" s="1102">
        <v>2</v>
      </c>
      <c r="Y318" s="1102" t="s">
        <v>75</v>
      </c>
      <c r="Z318" s="1102" t="s">
        <v>75</v>
      </c>
      <c r="AA318" s="1102" t="s">
        <v>1599</v>
      </c>
      <c r="AB318" s="1103">
        <v>46092</v>
      </c>
      <c r="AC318" s="1102">
        <v>11</v>
      </c>
      <c r="AD318" s="1102" t="s">
        <v>1600</v>
      </c>
      <c r="AF318" s="1102" t="s">
        <v>77</v>
      </c>
      <c r="AG318" s="1102" t="s">
        <v>61</v>
      </c>
      <c r="AH318" s="1102" t="s">
        <v>356</v>
      </c>
      <c r="AI318" s="1103">
        <v>46098</v>
      </c>
      <c r="AJ318" s="1103">
        <v>46098</v>
      </c>
      <c r="AK318" s="1103">
        <v>46098</v>
      </c>
      <c r="AL318" s="1103">
        <v>46147</v>
      </c>
      <c r="AM318" s="1103">
        <v>46144</v>
      </c>
      <c r="AN318" s="1103">
        <v>46144</v>
      </c>
      <c r="AO318" s="1102" t="s">
        <v>402</v>
      </c>
      <c r="AP318" s="1102" t="s">
        <v>1596</v>
      </c>
      <c r="AQ318" s="1102" t="s">
        <v>161</v>
      </c>
      <c r="AR318" s="1102" t="s">
        <v>1601</v>
      </c>
      <c r="AS318" s="1102" t="s">
        <v>1602</v>
      </c>
      <c r="AT318" s="1102">
        <v>267064412</v>
      </c>
      <c r="AU318" s="1102">
        <v>46</v>
      </c>
      <c r="AW318" s="1103">
        <v>46144</v>
      </c>
      <c r="AX318" s="1102" t="s">
        <v>973</v>
      </c>
      <c r="AY318" s="1103">
        <v>46160</v>
      </c>
      <c r="AZ318" s="1102">
        <v>0</v>
      </c>
      <c r="BA318" s="1103">
        <v>46144</v>
      </c>
      <c r="BB318" s="1102">
        <v>2026</v>
      </c>
      <c r="BC318" s="1102">
        <v>5</v>
      </c>
      <c r="BD318" s="1102">
        <v>18</v>
      </c>
      <c r="BE318" s="1102">
        <v>36</v>
      </c>
      <c r="BF318" s="1102">
        <v>864</v>
      </c>
      <c r="BG318" s="1102" t="s">
        <v>85</v>
      </c>
      <c r="BH318" s="1102" t="s">
        <v>109</v>
      </c>
    </row>
    <row r="319" spans="1:60">
      <c r="A319" s="1102" t="s">
        <v>1603</v>
      </c>
      <c r="B319" s="1102" t="s">
        <v>61</v>
      </c>
      <c r="C319" s="1102" t="s">
        <v>1593</v>
      </c>
      <c r="D319" s="1102" t="s">
        <v>63</v>
      </c>
      <c r="E319" s="1102" t="s">
        <v>64</v>
      </c>
      <c r="F319" s="1102" t="s">
        <v>65</v>
      </c>
      <c r="G319" s="1102" t="s">
        <v>402</v>
      </c>
      <c r="H319" s="1102" t="s">
        <v>67</v>
      </c>
      <c r="I319" s="1102" t="s">
        <v>689</v>
      </c>
      <c r="J319" s="1102" t="s">
        <v>1604</v>
      </c>
      <c r="M319" s="1102" t="s">
        <v>68</v>
      </c>
      <c r="N319" s="1102">
        <v>46090</v>
      </c>
      <c r="O319" s="1102" t="s">
        <v>70</v>
      </c>
      <c r="P319" s="1102" t="s">
        <v>71</v>
      </c>
      <c r="Q319" s="1102" t="s">
        <v>72</v>
      </c>
      <c r="R319" s="1102" t="s">
        <v>73</v>
      </c>
      <c r="S319" s="1102" t="s">
        <v>967</v>
      </c>
      <c r="T319" s="1102">
        <v>500</v>
      </c>
      <c r="U319" s="1102">
        <v>1728</v>
      </c>
      <c r="V319" s="1102">
        <v>0.86399999999999999</v>
      </c>
      <c r="W319" s="1102">
        <v>48</v>
      </c>
      <c r="X319" s="1102">
        <v>2</v>
      </c>
      <c r="Y319" s="1102" t="s">
        <v>75</v>
      </c>
      <c r="Z319" s="1102" t="s">
        <v>75</v>
      </c>
      <c r="AA319" s="1102" t="s">
        <v>1599</v>
      </c>
      <c r="AB319" s="1103">
        <v>46092</v>
      </c>
      <c r="AC319" s="1102">
        <v>11</v>
      </c>
      <c r="AD319" s="1102" t="s">
        <v>1605</v>
      </c>
      <c r="AF319" s="1102" t="s">
        <v>77</v>
      </c>
      <c r="AG319" s="1102" t="s">
        <v>61</v>
      </c>
      <c r="AH319" s="1102" t="s">
        <v>356</v>
      </c>
      <c r="AI319" s="1103">
        <v>46098</v>
      </c>
      <c r="AJ319" s="1103">
        <v>46098</v>
      </c>
      <c r="AK319" s="1103">
        <v>46098</v>
      </c>
      <c r="AL319" s="1103">
        <v>46147</v>
      </c>
      <c r="AM319" s="1103">
        <v>46144</v>
      </c>
      <c r="AN319" s="1103">
        <v>46144</v>
      </c>
      <c r="AO319" s="1102" t="s">
        <v>402</v>
      </c>
      <c r="AP319" s="1102" t="s">
        <v>1596</v>
      </c>
      <c r="AQ319" s="1102" t="s">
        <v>161</v>
      </c>
      <c r="AR319" s="1102" t="s">
        <v>1601</v>
      </c>
      <c r="AS319" s="1102" t="s">
        <v>1606</v>
      </c>
      <c r="AT319" s="1102">
        <v>267064412</v>
      </c>
      <c r="AU319" s="1102">
        <v>46</v>
      </c>
      <c r="AW319" s="1103">
        <v>46144</v>
      </c>
      <c r="AX319" s="1102" t="s">
        <v>973</v>
      </c>
      <c r="AY319" s="1103">
        <v>46159</v>
      </c>
      <c r="AZ319" s="1102">
        <v>8</v>
      </c>
      <c r="BA319" s="1103">
        <v>46152</v>
      </c>
      <c r="BB319" s="1102">
        <v>2026</v>
      </c>
      <c r="BC319" s="1102">
        <v>5</v>
      </c>
      <c r="BD319" s="1102">
        <v>19</v>
      </c>
      <c r="BE319" s="1102">
        <v>36</v>
      </c>
      <c r="BF319" s="1102">
        <v>864</v>
      </c>
      <c r="BG319" s="1102" t="s">
        <v>85</v>
      </c>
      <c r="BH319" s="1102" t="s">
        <v>109</v>
      </c>
    </row>
    <row r="320" spans="1:60">
      <c r="A320" s="1102" t="s">
        <v>1607</v>
      </c>
      <c r="B320" s="1102" t="s">
        <v>61</v>
      </c>
      <c r="C320" s="1102" t="s">
        <v>1593</v>
      </c>
      <c r="D320" s="1102" t="s">
        <v>63</v>
      </c>
      <c r="E320" s="1102" t="s">
        <v>64</v>
      </c>
      <c r="F320" s="1102" t="s">
        <v>65</v>
      </c>
      <c r="G320" s="1102" t="s">
        <v>402</v>
      </c>
      <c r="H320" s="1102" t="s">
        <v>67</v>
      </c>
      <c r="I320" s="1102" t="s">
        <v>689</v>
      </c>
      <c r="J320" s="1102" t="s">
        <v>690</v>
      </c>
      <c r="M320" s="1102" t="s">
        <v>68</v>
      </c>
      <c r="N320" s="1102">
        <v>46083</v>
      </c>
      <c r="O320" s="1102" t="s">
        <v>70</v>
      </c>
      <c r="P320" s="1102" t="s">
        <v>71</v>
      </c>
      <c r="Q320" s="1102" t="s">
        <v>72</v>
      </c>
      <c r="R320" s="1102" t="s">
        <v>73</v>
      </c>
      <c r="S320" s="1102" t="s">
        <v>967</v>
      </c>
      <c r="T320" s="1102">
        <v>500</v>
      </c>
      <c r="U320" s="1102">
        <v>5184</v>
      </c>
      <c r="V320" s="1102">
        <v>2.5920000000000001</v>
      </c>
      <c r="W320" s="1102">
        <v>144</v>
      </c>
      <c r="X320" s="1102">
        <v>6</v>
      </c>
      <c r="Y320" s="1102" t="s">
        <v>75</v>
      </c>
      <c r="Z320" s="1102" t="s">
        <v>75</v>
      </c>
      <c r="AA320" s="1102" t="s">
        <v>1608</v>
      </c>
      <c r="AB320" s="1103">
        <v>46092</v>
      </c>
      <c r="AC320" s="1102">
        <v>11</v>
      </c>
      <c r="AD320" s="1102" t="s">
        <v>1609</v>
      </c>
      <c r="AF320" s="1102" t="s">
        <v>77</v>
      </c>
      <c r="AG320" s="1102" t="s">
        <v>61</v>
      </c>
      <c r="AH320" s="1102" t="s">
        <v>356</v>
      </c>
      <c r="AI320" s="1103">
        <v>46098</v>
      </c>
      <c r="AJ320" s="1103">
        <v>46098</v>
      </c>
      <c r="AK320" s="1103">
        <v>46098</v>
      </c>
      <c r="AL320" s="1103">
        <v>46147</v>
      </c>
      <c r="AM320" s="1103">
        <v>46144</v>
      </c>
      <c r="AN320" s="1103">
        <v>46144</v>
      </c>
      <c r="AO320" s="1102" t="s">
        <v>402</v>
      </c>
      <c r="AP320" s="1102" t="s">
        <v>1596</v>
      </c>
      <c r="AQ320" s="1102" t="s">
        <v>161</v>
      </c>
      <c r="AR320" s="1102" t="s">
        <v>1601</v>
      </c>
      <c r="AS320" s="1102" t="s">
        <v>1606</v>
      </c>
      <c r="AT320" s="1102">
        <v>267064412</v>
      </c>
      <c r="AU320" s="1102">
        <v>46</v>
      </c>
      <c r="AW320" s="1103">
        <v>46144</v>
      </c>
      <c r="AX320" s="1102" t="s">
        <v>973</v>
      </c>
      <c r="AY320" s="1103">
        <v>46157</v>
      </c>
      <c r="AZ320" s="1102">
        <v>8</v>
      </c>
      <c r="BA320" s="1103">
        <v>46152</v>
      </c>
      <c r="BB320" s="1102">
        <v>2026</v>
      </c>
      <c r="BC320" s="1102">
        <v>5</v>
      </c>
      <c r="BD320" s="1102">
        <v>19</v>
      </c>
      <c r="BE320" s="1102">
        <v>36</v>
      </c>
      <c r="BF320" s="1102">
        <v>864</v>
      </c>
      <c r="BG320" s="1102" t="s">
        <v>85</v>
      </c>
      <c r="BH320" s="1102" t="s">
        <v>109</v>
      </c>
    </row>
    <row r="321" spans="1:60">
      <c r="A321" s="1102" t="s">
        <v>1610</v>
      </c>
      <c r="B321" s="1102" t="s">
        <v>61</v>
      </c>
      <c r="C321" s="1102" t="s">
        <v>1286</v>
      </c>
      <c r="D321" s="1102" t="s">
        <v>63</v>
      </c>
      <c r="E321" s="1102" t="s">
        <v>64</v>
      </c>
      <c r="F321" s="1102" t="s">
        <v>100</v>
      </c>
      <c r="G321" s="1102" t="s">
        <v>402</v>
      </c>
      <c r="H321" s="1102" t="s">
        <v>67</v>
      </c>
      <c r="I321" s="1102" t="s">
        <v>689</v>
      </c>
      <c r="J321" s="1102" t="s">
        <v>101</v>
      </c>
      <c r="M321" s="1102" t="s">
        <v>68</v>
      </c>
      <c r="N321" s="1102">
        <v>46104</v>
      </c>
      <c r="O321" s="1102" t="s">
        <v>70</v>
      </c>
      <c r="P321" s="1102" t="s">
        <v>1151</v>
      </c>
      <c r="Q321" s="1102" t="s">
        <v>421</v>
      </c>
      <c r="R321" s="1102" t="s">
        <v>73</v>
      </c>
      <c r="S321" s="1102" t="s">
        <v>967</v>
      </c>
      <c r="T321" s="1102">
        <v>505</v>
      </c>
      <c r="U321" s="1102">
        <v>2592</v>
      </c>
      <c r="V321" s="1102">
        <v>1.3089599999999999</v>
      </c>
      <c r="W321" s="1102">
        <v>72</v>
      </c>
      <c r="X321" s="1102">
        <v>3</v>
      </c>
      <c r="Y321" s="1102" t="s">
        <v>75</v>
      </c>
      <c r="Z321" s="1102" t="s">
        <v>75</v>
      </c>
      <c r="AA321" s="1102" t="s">
        <v>1456</v>
      </c>
      <c r="AB321" s="1103">
        <v>46091</v>
      </c>
      <c r="AC321" s="1102">
        <v>11</v>
      </c>
      <c r="AD321" s="1102" t="s">
        <v>1611</v>
      </c>
      <c r="AF321" s="1102" t="s">
        <v>77</v>
      </c>
      <c r="AG321" s="1102" t="s">
        <v>61</v>
      </c>
      <c r="AH321" s="1102" t="s">
        <v>105</v>
      </c>
      <c r="AI321" s="1103">
        <v>46095</v>
      </c>
      <c r="AJ321" s="1103">
        <v>46095</v>
      </c>
      <c r="AK321" s="1103">
        <v>46095</v>
      </c>
      <c r="AL321" s="1103">
        <v>46142</v>
      </c>
      <c r="AM321" s="1103">
        <v>46150</v>
      </c>
      <c r="AN321" s="1103">
        <v>46148</v>
      </c>
      <c r="AO321" s="1102" t="s">
        <v>402</v>
      </c>
      <c r="AP321" s="1102" t="s">
        <v>925</v>
      </c>
      <c r="AQ321" s="1102" t="s">
        <v>80</v>
      </c>
      <c r="AR321" s="1102" t="s">
        <v>1612</v>
      </c>
      <c r="AS321" s="1102" t="s">
        <v>1613</v>
      </c>
      <c r="AT321" s="1102" t="s">
        <v>1613</v>
      </c>
      <c r="AU321" s="1102">
        <v>53</v>
      </c>
      <c r="AW321" s="1103">
        <v>46148</v>
      </c>
      <c r="AX321" s="1102" t="s">
        <v>973</v>
      </c>
      <c r="AY321" s="1103">
        <v>46163</v>
      </c>
      <c r="AZ321" s="1102">
        <v>7</v>
      </c>
      <c r="BA321" s="1103">
        <v>46155</v>
      </c>
      <c r="BB321" s="1102">
        <v>2026</v>
      </c>
      <c r="BC321" s="1102">
        <v>5</v>
      </c>
      <c r="BD321" s="1102">
        <v>20</v>
      </c>
      <c r="BE321" s="1102">
        <v>36</v>
      </c>
      <c r="BF321" s="1102">
        <v>864</v>
      </c>
      <c r="BG321" s="1102" t="s">
        <v>85</v>
      </c>
      <c r="BH321" s="1102" t="s">
        <v>109</v>
      </c>
    </row>
    <row r="322" spans="1:60">
      <c r="A322" s="1102" t="s">
        <v>1614</v>
      </c>
      <c r="B322" s="1102" t="s">
        <v>61</v>
      </c>
      <c r="C322" s="1102" t="s">
        <v>1016</v>
      </c>
      <c r="D322" s="1102" t="s">
        <v>63</v>
      </c>
      <c r="E322" s="1102" t="s">
        <v>144</v>
      </c>
      <c r="F322" s="1102" t="s">
        <v>145</v>
      </c>
      <c r="G322" s="1102" t="s">
        <v>402</v>
      </c>
      <c r="H322" s="1102" t="s">
        <v>538</v>
      </c>
      <c r="I322" s="1102" t="s">
        <v>689</v>
      </c>
      <c r="J322" s="1102" t="s">
        <v>1615</v>
      </c>
      <c r="K322" s="1102" t="s">
        <v>1538</v>
      </c>
      <c r="M322" s="1102" t="s">
        <v>840</v>
      </c>
      <c r="N322" s="1102">
        <v>46076</v>
      </c>
      <c r="O322" s="1102" t="s">
        <v>70</v>
      </c>
      <c r="P322" s="1102" t="s">
        <v>195</v>
      </c>
      <c r="Q322" s="1102" t="s">
        <v>196</v>
      </c>
      <c r="R322" s="1102" t="s">
        <v>73</v>
      </c>
      <c r="S322" s="1102" t="s">
        <v>967</v>
      </c>
      <c r="T322" s="1102">
        <v>450</v>
      </c>
      <c r="U322" s="1102">
        <v>8424</v>
      </c>
      <c r="V322" s="1102">
        <v>3.7907999999999999</v>
      </c>
      <c r="W322" s="1102">
        <v>234</v>
      </c>
      <c r="X322" s="1102">
        <v>9</v>
      </c>
      <c r="Y322" s="1102" t="s">
        <v>75</v>
      </c>
      <c r="Z322" s="1102" t="s">
        <v>75</v>
      </c>
      <c r="AA322" s="1102" t="s">
        <v>1456</v>
      </c>
      <c r="AB322" s="1103">
        <v>46093</v>
      </c>
      <c r="AC322" s="1102">
        <v>11</v>
      </c>
      <c r="AD322" s="1102" t="s">
        <v>1616</v>
      </c>
      <c r="AF322" s="1102" t="s">
        <v>77</v>
      </c>
      <c r="AG322" s="1102" t="s">
        <v>61</v>
      </c>
      <c r="AH322" s="1102" t="s">
        <v>1617</v>
      </c>
      <c r="AI322" s="1103">
        <v>46098</v>
      </c>
      <c r="AJ322" s="1103">
        <v>46098</v>
      </c>
      <c r="AK322" s="1103">
        <v>46097</v>
      </c>
      <c r="AL322" s="1103">
        <v>46168</v>
      </c>
      <c r="AM322" s="1103">
        <v>46157</v>
      </c>
      <c r="AN322" s="1103">
        <v>46158</v>
      </c>
      <c r="AO322" s="1102" t="s">
        <v>402</v>
      </c>
      <c r="AP322" s="1102" t="s">
        <v>1618</v>
      </c>
      <c r="AQ322" s="1102" t="s">
        <v>161</v>
      </c>
      <c r="AR322" s="1102" t="s">
        <v>1619</v>
      </c>
      <c r="AS322" s="1102" t="s">
        <v>1620</v>
      </c>
      <c r="AT322" s="1102" t="s">
        <v>1620</v>
      </c>
      <c r="AU322" s="1102">
        <v>61</v>
      </c>
      <c r="AW322" s="1103">
        <v>46158</v>
      </c>
      <c r="AX322" s="1102" t="s">
        <v>973</v>
      </c>
      <c r="AY322" s="1103">
        <v>46181</v>
      </c>
      <c r="AZ322" s="1102">
        <v>0</v>
      </c>
      <c r="BA322" s="1103">
        <v>46158</v>
      </c>
      <c r="BB322" s="1102">
        <v>2026</v>
      </c>
      <c r="BC322" s="1102">
        <v>5</v>
      </c>
      <c r="BD322" s="1102">
        <v>20</v>
      </c>
      <c r="BE322" s="1102">
        <v>36</v>
      </c>
      <c r="BF322" s="1102">
        <v>936</v>
      </c>
      <c r="BG322" s="1102" t="s">
        <v>85</v>
      </c>
      <c r="BH322" s="1102" t="e">
        <v>#N/A</v>
      </c>
    </row>
    <row r="323" spans="1:60">
      <c r="A323" s="1102" t="s">
        <v>1621</v>
      </c>
      <c r="B323" s="1102" t="s">
        <v>61</v>
      </c>
      <c r="C323" s="1102" t="s">
        <v>1286</v>
      </c>
      <c r="D323" s="1102" t="s">
        <v>63</v>
      </c>
      <c r="E323" s="1102" t="s">
        <v>64</v>
      </c>
      <c r="F323" s="1102" t="s">
        <v>100</v>
      </c>
      <c r="G323" s="1102" t="s">
        <v>402</v>
      </c>
      <c r="H323" s="1102" t="s">
        <v>67</v>
      </c>
      <c r="I323" s="1102" t="s">
        <v>689</v>
      </c>
      <c r="J323" s="1102" t="s">
        <v>1622</v>
      </c>
      <c r="M323" s="1102" t="s">
        <v>68</v>
      </c>
      <c r="N323" s="1102">
        <v>46090</v>
      </c>
      <c r="O323" s="1102" t="s">
        <v>70</v>
      </c>
      <c r="P323" s="1102" t="s">
        <v>1151</v>
      </c>
      <c r="Q323" s="1102" t="s">
        <v>421</v>
      </c>
      <c r="R323" s="1102" t="s">
        <v>73</v>
      </c>
      <c r="S323" s="1102" t="s">
        <v>967</v>
      </c>
      <c r="T323" s="1102">
        <v>505</v>
      </c>
      <c r="U323" s="1102">
        <v>8640</v>
      </c>
      <c r="V323" s="1102">
        <v>4.3632</v>
      </c>
      <c r="W323" s="1102">
        <v>240</v>
      </c>
      <c r="X323" s="1102">
        <v>10</v>
      </c>
      <c r="Y323" s="1102" t="s">
        <v>75</v>
      </c>
      <c r="Z323" s="1102" t="s">
        <v>75</v>
      </c>
      <c r="AB323" s="1103">
        <v>46091</v>
      </c>
      <c r="AC323" s="1102">
        <v>11</v>
      </c>
      <c r="AD323" s="1102" t="s">
        <v>1623</v>
      </c>
      <c r="AF323" s="1102" t="s">
        <v>77</v>
      </c>
      <c r="AG323" s="1102" t="s">
        <v>61</v>
      </c>
      <c r="AH323" s="1102" t="s">
        <v>105</v>
      </c>
      <c r="AI323" s="1103">
        <v>46095</v>
      </c>
      <c r="AJ323" s="1103">
        <v>46095</v>
      </c>
      <c r="AK323" s="1103">
        <v>46095</v>
      </c>
      <c r="AL323" s="1103">
        <v>46142</v>
      </c>
      <c r="AM323" s="1103">
        <v>46150</v>
      </c>
      <c r="AN323" s="1103">
        <v>46148</v>
      </c>
      <c r="AO323" s="1102" t="s">
        <v>402</v>
      </c>
      <c r="AP323" s="1102" t="s">
        <v>925</v>
      </c>
      <c r="AQ323" s="1102" t="s">
        <v>80</v>
      </c>
      <c r="AR323" s="1102" t="s">
        <v>1624</v>
      </c>
      <c r="AS323" s="1102" t="s">
        <v>1625</v>
      </c>
      <c r="AT323" s="1102" t="s">
        <v>1625</v>
      </c>
      <c r="AU323" s="1102">
        <v>53</v>
      </c>
      <c r="AW323" s="1103">
        <v>46148</v>
      </c>
      <c r="AX323" s="1102" t="s">
        <v>973</v>
      </c>
      <c r="AY323" s="1103">
        <v>46163</v>
      </c>
      <c r="AZ323" s="1102">
        <v>7</v>
      </c>
      <c r="BA323" s="1103">
        <v>46155</v>
      </c>
      <c r="BB323" s="1102">
        <v>2026</v>
      </c>
      <c r="BC323" s="1102">
        <v>5</v>
      </c>
      <c r="BD323" s="1102">
        <v>20</v>
      </c>
      <c r="BE323" s="1102">
        <v>36</v>
      </c>
      <c r="BF323" s="1102">
        <v>864</v>
      </c>
      <c r="BG323" s="1102" t="s">
        <v>85</v>
      </c>
      <c r="BH323" s="1102" t="s">
        <v>109</v>
      </c>
    </row>
    <row r="324" spans="1:60">
      <c r="A324" s="1102" t="s">
        <v>1626</v>
      </c>
      <c r="B324" s="1102" t="s">
        <v>61</v>
      </c>
      <c r="C324" s="1102" t="s">
        <v>203</v>
      </c>
      <c r="D324" s="1102" t="s">
        <v>113</v>
      </c>
      <c r="E324" s="1102" t="s">
        <v>64</v>
      </c>
      <c r="F324" s="1102" t="s">
        <v>100</v>
      </c>
      <c r="G324" s="1102" t="s">
        <v>402</v>
      </c>
      <c r="H324" s="1102" t="s">
        <v>67</v>
      </c>
      <c r="I324" s="1102" t="s">
        <v>689</v>
      </c>
      <c r="J324" s="1102" t="s">
        <v>1627</v>
      </c>
      <c r="M324" s="1102" t="s">
        <v>68</v>
      </c>
      <c r="N324" s="1102">
        <v>46045</v>
      </c>
      <c r="O324" s="1102" t="s">
        <v>713</v>
      </c>
      <c r="P324" s="1102" t="s">
        <v>1628</v>
      </c>
      <c r="Q324" s="1102" t="s">
        <v>1629</v>
      </c>
      <c r="R324" s="1102" t="s">
        <v>73</v>
      </c>
      <c r="S324" s="1102" t="s">
        <v>1166</v>
      </c>
      <c r="T324" s="1102">
        <v>630</v>
      </c>
      <c r="U324" s="1102">
        <v>108</v>
      </c>
      <c r="V324" s="1102">
        <v>6.8040000000000003E-2</v>
      </c>
      <c r="W324" s="1102">
        <v>3</v>
      </c>
      <c r="X324" s="1102">
        <v>0.1875</v>
      </c>
      <c r="Y324" s="1102" t="s">
        <v>75</v>
      </c>
      <c r="Z324" s="1102" t="s">
        <v>75</v>
      </c>
      <c r="AB324" s="1103">
        <v>46090</v>
      </c>
      <c r="AC324" s="1102">
        <v>11</v>
      </c>
      <c r="AD324" s="1102" t="s">
        <v>1630</v>
      </c>
      <c r="AF324" s="1102" t="s">
        <v>77</v>
      </c>
      <c r="AG324" s="1102" t="s">
        <v>61</v>
      </c>
      <c r="AH324" s="1102" t="s">
        <v>105</v>
      </c>
      <c r="AI324" s="1103">
        <v>46096</v>
      </c>
      <c r="AJ324" s="1103">
        <v>46103</v>
      </c>
      <c r="AK324" s="1103">
        <v>46103</v>
      </c>
      <c r="AL324" s="1103">
        <v>46139</v>
      </c>
      <c r="AM324" s="1103">
        <v>46147</v>
      </c>
      <c r="AN324" s="1103">
        <v>46147</v>
      </c>
      <c r="AO324" s="1102" t="s">
        <v>402</v>
      </c>
      <c r="AP324" s="1102" t="s">
        <v>1631</v>
      </c>
      <c r="AQ324" s="1102" t="s">
        <v>161</v>
      </c>
      <c r="AR324" s="1102" t="s">
        <v>1632</v>
      </c>
      <c r="AS324" s="1102" t="s">
        <v>1633</v>
      </c>
      <c r="AT324" s="1102">
        <v>267006396</v>
      </c>
      <c r="AU324" s="1102">
        <v>44</v>
      </c>
      <c r="AW324" s="1103">
        <v>46147</v>
      </c>
      <c r="AX324" s="1102" t="s">
        <v>973</v>
      </c>
      <c r="AY324" s="1103">
        <v>46153</v>
      </c>
      <c r="AZ324" s="1102">
        <v>7</v>
      </c>
      <c r="BA324" s="1103">
        <v>46154</v>
      </c>
      <c r="BB324" s="1102">
        <v>2026</v>
      </c>
      <c r="BC324" s="1102">
        <v>5</v>
      </c>
      <c r="BD324" s="1102">
        <v>20</v>
      </c>
      <c r="BE324" s="1102">
        <v>36</v>
      </c>
      <c r="BF324" s="1102">
        <v>576</v>
      </c>
      <c r="BG324" s="1102" t="s">
        <v>108</v>
      </c>
      <c r="BH324" s="1102" t="s">
        <v>109</v>
      </c>
    </row>
    <row r="325" spans="1:60">
      <c r="A325" s="1102" t="s">
        <v>1634</v>
      </c>
      <c r="B325" s="1102" t="s">
        <v>61</v>
      </c>
      <c r="C325" s="1102" t="s">
        <v>1162</v>
      </c>
      <c r="D325" s="1102" t="s">
        <v>113</v>
      </c>
      <c r="E325" s="1102" t="s">
        <v>64</v>
      </c>
      <c r="F325" s="1102" t="s">
        <v>100</v>
      </c>
      <c r="G325" s="1102" t="s">
        <v>402</v>
      </c>
      <c r="H325" s="1102" t="s">
        <v>67</v>
      </c>
      <c r="I325" s="1102" t="s">
        <v>689</v>
      </c>
      <c r="J325" s="1102" t="s">
        <v>1635</v>
      </c>
      <c r="M325" s="1102" t="s">
        <v>68</v>
      </c>
      <c r="N325" s="1102">
        <v>46045</v>
      </c>
      <c r="O325" s="1102" t="s">
        <v>713</v>
      </c>
      <c r="P325" s="1102" t="s">
        <v>1164</v>
      </c>
      <c r="Q325" s="1102" t="s">
        <v>1165</v>
      </c>
      <c r="R325" s="1102" t="s">
        <v>73</v>
      </c>
      <c r="S325" s="1102" t="s">
        <v>1166</v>
      </c>
      <c r="T325" s="1102">
        <v>620</v>
      </c>
      <c r="U325" s="1102">
        <v>4500</v>
      </c>
      <c r="V325" s="1102">
        <v>2.79</v>
      </c>
      <c r="W325" s="1102">
        <v>125</v>
      </c>
      <c r="X325" s="1102">
        <v>7.8125</v>
      </c>
      <c r="Y325" s="1102" t="s">
        <v>75</v>
      </c>
      <c r="Z325" s="1102" t="s">
        <v>75</v>
      </c>
      <c r="AB325" s="1103">
        <v>46090</v>
      </c>
      <c r="AC325" s="1102">
        <v>11</v>
      </c>
      <c r="AD325" s="1102" t="s">
        <v>1636</v>
      </c>
      <c r="AF325" s="1102" t="s">
        <v>77</v>
      </c>
      <c r="AG325" s="1102" t="s">
        <v>61</v>
      </c>
      <c r="AH325" s="1102" t="s">
        <v>105</v>
      </c>
      <c r="AI325" s="1103">
        <v>46096</v>
      </c>
      <c r="AJ325" s="1103">
        <v>46103</v>
      </c>
      <c r="AK325" s="1103">
        <v>46103</v>
      </c>
      <c r="AL325" s="1103">
        <v>46139</v>
      </c>
      <c r="AM325" s="1103">
        <v>46147</v>
      </c>
      <c r="AN325" s="1103">
        <v>46147</v>
      </c>
      <c r="AO325" s="1102" t="s">
        <v>402</v>
      </c>
      <c r="AP325" s="1102" t="s">
        <v>1631</v>
      </c>
      <c r="AQ325" s="1102" t="s">
        <v>161</v>
      </c>
      <c r="AR325" s="1102" t="s">
        <v>1632</v>
      </c>
      <c r="AS325" s="1102" t="s">
        <v>1633</v>
      </c>
      <c r="AT325" s="1102">
        <v>267006396</v>
      </c>
      <c r="AU325" s="1102">
        <v>44</v>
      </c>
      <c r="AW325" s="1103">
        <v>46147</v>
      </c>
      <c r="AX325" s="1102" t="s">
        <v>973</v>
      </c>
      <c r="AY325" s="1103">
        <v>46153</v>
      </c>
      <c r="AZ325" s="1102">
        <v>7</v>
      </c>
      <c r="BA325" s="1103">
        <v>46154</v>
      </c>
      <c r="BB325" s="1102">
        <v>2026</v>
      </c>
      <c r="BC325" s="1102">
        <v>5</v>
      </c>
      <c r="BD325" s="1102">
        <v>20</v>
      </c>
      <c r="BE325" s="1102">
        <v>36</v>
      </c>
      <c r="BF325" s="1102">
        <v>576</v>
      </c>
      <c r="BG325" s="1102" t="s">
        <v>108</v>
      </c>
      <c r="BH325" s="1102" t="s">
        <v>109</v>
      </c>
    </row>
    <row r="326" spans="1:60">
      <c r="A326" s="1102" t="s">
        <v>1637</v>
      </c>
      <c r="B326" s="1102" t="s">
        <v>61</v>
      </c>
      <c r="C326" s="1102" t="s">
        <v>1162</v>
      </c>
      <c r="D326" s="1102" t="s">
        <v>113</v>
      </c>
      <c r="E326" s="1102" t="s">
        <v>64</v>
      </c>
      <c r="F326" s="1102" t="s">
        <v>100</v>
      </c>
      <c r="G326" s="1102" t="s">
        <v>402</v>
      </c>
      <c r="H326" s="1102" t="s">
        <v>67</v>
      </c>
      <c r="I326" s="1102" t="s">
        <v>689</v>
      </c>
      <c r="J326" s="1102" t="s">
        <v>1635</v>
      </c>
      <c r="M326" s="1102" t="s">
        <v>68</v>
      </c>
      <c r="N326" s="1102">
        <v>46045</v>
      </c>
      <c r="O326" s="1102" t="s">
        <v>713</v>
      </c>
      <c r="P326" s="1102" t="s">
        <v>1164</v>
      </c>
      <c r="Q326" s="1102" t="s">
        <v>1165</v>
      </c>
      <c r="R326" s="1102" t="s">
        <v>73</v>
      </c>
      <c r="S326" s="1102" t="s">
        <v>1166</v>
      </c>
      <c r="T326" s="1102">
        <v>620</v>
      </c>
      <c r="U326" s="1102">
        <v>4608</v>
      </c>
      <c r="V326" s="1102">
        <v>2.8569599999999999</v>
      </c>
      <c r="W326" s="1102">
        <v>128</v>
      </c>
      <c r="X326" s="1102">
        <v>8</v>
      </c>
      <c r="Y326" s="1102" t="s">
        <v>75</v>
      </c>
      <c r="Z326" s="1102" t="s">
        <v>75</v>
      </c>
      <c r="AB326" s="1103">
        <v>46090</v>
      </c>
      <c r="AC326" s="1102">
        <v>11</v>
      </c>
      <c r="AD326" s="1102" t="s">
        <v>1638</v>
      </c>
      <c r="AF326" s="1102" t="s">
        <v>77</v>
      </c>
      <c r="AG326" s="1102" t="s">
        <v>61</v>
      </c>
      <c r="AH326" s="1102" t="s">
        <v>105</v>
      </c>
      <c r="AI326" s="1103">
        <v>46096</v>
      </c>
      <c r="AJ326" s="1103">
        <v>46103</v>
      </c>
      <c r="AK326" s="1103">
        <v>46103</v>
      </c>
      <c r="AL326" s="1103">
        <v>46139</v>
      </c>
      <c r="AM326" s="1103">
        <v>46147</v>
      </c>
      <c r="AN326" s="1103">
        <v>46147</v>
      </c>
      <c r="AO326" s="1102" t="s">
        <v>402</v>
      </c>
      <c r="AP326" s="1102" t="s">
        <v>1631</v>
      </c>
      <c r="AQ326" s="1102" t="s">
        <v>161</v>
      </c>
      <c r="AR326" s="1102" t="s">
        <v>1632</v>
      </c>
      <c r="AS326" s="1102" t="s">
        <v>1633</v>
      </c>
      <c r="AT326" s="1102">
        <v>267006396</v>
      </c>
      <c r="AU326" s="1102">
        <v>44</v>
      </c>
      <c r="AW326" s="1103">
        <v>46147</v>
      </c>
      <c r="AX326" s="1102" t="s">
        <v>973</v>
      </c>
      <c r="AY326" s="1103">
        <v>46153</v>
      </c>
      <c r="AZ326" s="1102">
        <v>7</v>
      </c>
      <c r="BA326" s="1103">
        <v>46154</v>
      </c>
      <c r="BB326" s="1102">
        <v>2026</v>
      </c>
      <c r="BC326" s="1102">
        <v>5</v>
      </c>
      <c r="BD326" s="1102">
        <v>20</v>
      </c>
      <c r="BE326" s="1102">
        <v>36</v>
      </c>
      <c r="BF326" s="1102">
        <v>576</v>
      </c>
      <c r="BG326" s="1102" t="s">
        <v>108</v>
      </c>
      <c r="BH326" s="1102" t="s">
        <v>109</v>
      </c>
    </row>
    <row r="327" spans="1:60">
      <c r="A327" s="1102" t="s">
        <v>1639</v>
      </c>
      <c r="B327" s="1102" t="s">
        <v>61</v>
      </c>
      <c r="C327" s="1102" t="s">
        <v>1286</v>
      </c>
      <c r="D327" s="1102" t="s">
        <v>63</v>
      </c>
      <c r="E327" s="1102" t="s">
        <v>64</v>
      </c>
      <c r="F327" s="1102" t="s">
        <v>100</v>
      </c>
      <c r="G327" s="1102" t="s">
        <v>402</v>
      </c>
      <c r="H327" s="1102" t="s">
        <v>67</v>
      </c>
      <c r="I327" s="1102" t="s">
        <v>689</v>
      </c>
      <c r="J327" s="1102" t="s">
        <v>101</v>
      </c>
      <c r="M327" s="1102" t="s">
        <v>68</v>
      </c>
      <c r="N327" s="1102">
        <v>46097</v>
      </c>
      <c r="O327" s="1102" t="s">
        <v>70</v>
      </c>
      <c r="P327" s="1102" t="s">
        <v>1151</v>
      </c>
      <c r="Q327" s="1102" t="s">
        <v>421</v>
      </c>
      <c r="R327" s="1102" t="s">
        <v>73</v>
      </c>
      <c r="S327" s="1102" t="s">
        <v>967</v>
      </c>
      <c r="T327" s="1102">
        <v>505</v>
      </c>
      <c r="U327" s="1102">
        <v>9504</v>
      </c>
      <c r="V327" s="1102">
        <v>4.7995200000000002</v>
      </c>
      <c r="W327" s="1102">
        <v>264</v>
      </c>
      <c r="X327" s="1102">
        <v>11</v>
      </c>
      <c r="Y327" s="1102" t="s">
        <v>75</v>
      </c>
      <c r="Z327" s="1102" t="s">
        <v>75</v>
      </c>
      <c r="AA327" s="1102" t="s">
        <v>1456</v>
      </c>
      <c r="AB327" s="1103">
        <v>46091</v>
      </c>
      <c r="AC327" s="1102">
        <v>11</v>
      </c>
      <c r="AD327" s="1102" t="s">
        <v>1640</v>
      </c>
      <c r="AF327" s="1102" t="s">
        <v>77</v>
      </c>
      <c r="AG327" s="1102" t="s">
        <v>61</v>
      </c>
      <c r="AH327" s="1102" t="s">
        <v>105</v>
      </c>
      <c r="AI327" s="1103">
        <v>46095</v>
      </c>
      <c r="AJ327" s="1103">
        <v>46095</v>
      </c>
      <c r="AK327" s="1103">
        <v>46095</v>
      </c>
      <c r="AL327" s="1103">
        <v>46142</v>
      </c>
      <c r="AM327" s="1103">
        <v>46154</v>
      </c>
      <c r="AN327" s="1103">
        <v>46157</v>
      </c>
      <c r="AO327" s="1102" t="s">
        <v>402</v>
      </c>
      <c r="AP327" s="1102" t="s">
        <v>925</v>
      </c>
      <c r="AQ327" s="1102" t="s">
        <v>80</v>
      </c>
      <c r="AR327" s="1102" t="s">
        <v>926</v>
      </c>
      <c r="AS327" s="1102" t="s">
        <v>927</v>
      </c>
      <c r="AT327" s="1102" t="s">
        <v>927</v>
      </c>
      <c r="AU327" s="1102">
        <v>62</v>
      </c>
      <c r="AW327" s="1103">
        <v>46157</v>
      </c>
      <c r="AX327" s="1102" t="s">
        <v>973</v>
      </c>
      <c r="AY327" s="1103">
        <v>46170</v>
      </c>
      <c r="AZ327" s="1102">
        <v>7</v>
      </c>
      <c r="BA327" s="1103">
        <v>46164</v>
      </c>
      <c r="BB327" s="1102">
        <v>2026</v>
      </c>
      <c r="BC327" s="1102">
        <v>5</v>
      </c>
      <c r="BD327" s="1102">
        <v>21</v>
      </c>
      <c r="BE327" s="1102">
        <v>36</v>
      </c>
      <c r="BF327" s="1102">
        <v>864</v>
      </c>
      <c r="BG327" s="1102" t="s">
        <v>85</v>
      </c>
      <c r="BH327" s="1102" t="s">
        <v>109</v>
      </c>
    </row>
    <row r="328" spans="1:60">
      <c r="A328" s="1102" t="s">
        <v>1641</v>
      </c>
      <c r="B328" s="1102" t="s">
        <v>111</v>
      </c>
      <c r="C328" s="1102" t="s">
        <v>1061</v>
      </c>
      <c r="D328" s="1102" t="s">
        <v>63</v>
      </c>
      <c r="E328" s="1102" t="s">
        <v>64</v>
      </c>
      <c r="F328" s="1102" t="s">
        <v>450</v>
      </c>
      <c r="G328" s="1102" t="s">
        <v>402</v>
      </c>
      <c r="H328" s="1102" t="s">
        <v>451</v>
      </c>
      <c r="I328" s="1102" t="s">
        <v>689</v>
      </c>
      <c r="J328" s="1102" t="s">
        <v>1112</v>
      </c>
      <c r="K328" s="1102" t="s">
        <v>1113</v>
      </c>
      <c r="M328" s="1102" t="s">
        <v>68</v>
      </c>
      <c r="N328" s="1102">
        <v>46076</v>
      </c>
      <c r="O328" s="1102" t="s">
        <v>132</v>
      </c>
      <c r="P328" s="1102" t="s">
        <v>1062</v>
      </c>
      <c r="Q328" s="1102" t="s">
        <v>1063</v>
      </c>
      <c r="R328" s="1102" t="s">
        <v>73</v>
      </c>
      <c r="S328" s="1102" t="s">
        <v>967</v>
      </c>
      <c r="T328" s="1102">
        <v>470</v>
      </c>
      <c r="U328" s="1102">
        <v>3456</v>
      </c>
      <c r="V328" s="1102">
        <v>1.62432</v>
      </c>
      <c r="W328" s="1102">
        <v>96</v>
      </c>
      <c r="X328" s="1102">
        <v>4</v>
      </c>
      <c r="Y328" s="1102" t="s">
        <v>75</v>
      </c>
      <c r="Z328" s="1102" t="s">
        <v>75</v>
      </c>
      <c r="AB328" s="1103">
        <v>46097</v>
      </c>
      <c r="AC328" s="1102">
        <v>12</v>
      </c>
      <c r="AD328" s="1102" t="s">
        <v>1642</v>
      </c>
      <c r="AF328" s="1102" t="s">
        <v>1643</v>
      </c>
      <c r="AG328" s="1102" t="s">
        <v>123</v>
      </c>
      <c r="AH328" s="1102" t="s">
        <v>456</v>
      </c>
      <c r="AI328" s="1103">
        <v>46103</v>
      </c>
      <c r="AJ328" s="1103">
        <v>46110</v>
      </c>
      <c r="AK328" s="1103">
        <v>46110</v>
      </c>
      <c r="AL328" s="1103">
        <v>46141</v>
      </c>
      <c r="AM328" s="1103">
        <v>46160</v>
      </c>
      <c r="AN328" s="1103">
        <v>46157</v>
      </c>
      <c r="AO328" s="1102" t="s">
        <v>402</v>
      </c>
      <c r="AP328" s="1102" t="s">
        <v>1644</v>
      </c>
      <c r="AQ328" s="1102" t="s">
        <v>80</v>
      </c>
      <c r="AR328" s="1102" t="s">
        <v>1645</v>
      </c>
      <c r="AS328" s="1102" t="s">
        <v>1646</v>
      </c>
      <c r="AT328" s="1102" t="s">
        <v>1646</v>
      </c>
      <c r="AU328" s="1102">
        <v>47</v>
      </c>
      <c r="AW328" s="1103">
        <v>46157</v>
      </c>
      <c r="AX328" s="1102" t="s">
        <v>973</v>
      </c>
      <c r="AY328" s="1103">
        <v>46170</v>
      </c>
      <c r="AZ328" s="1102">
        <v>7</v>
      </c>
      <c r="BA328" s="1103">
        <v>46164</v>
      </c>
      <c r="BB328" s="1102">
        <v>2026</v>
      </c>
      <c r="BC328" s="1102">
        <v>5</v>
      </c>
      <c r="BD328" s="1102">
        <v>21</v>
      </c>
      <c r="BE328" s="1102">
        <v>36</v>
      </c>
      <c r="BF328" s="1102">
        <v>864</v>
      </c>
      <c r="BG328" s="1102" t="s">
        <v>108</v>
      </c>
      <c r="BH328" s="1102" t="s">
        <v>109</v>
      </c>
    </row>
    <row r="329" spans="1:60">
      <c r="A329" s="1102" t="s">
        <v>1647</v>
      </c>
      <c r="B329" s="1102" t="s">
        <v>111</v>
      </c>
      <c r="C329" s="1102" t="s">
        <v>1061</v>
      </c>
      <c r="D329" s="1102" t="s">
        <v>63</v>
      </c>
      <c r="E329" s="1102" t="s">
        <v>64</v>
      </c>
      <c r="F329" s="1102" t="s">
        <v>100</v>
      </c>
      <c r="G329" s="1102" t="s">
        <v>402</v>
      </c>
      <c r="H329" s="1102" t="s">
        <v>67</v>
      </c>
      <c r="I329" s="1102" t="s">
        <v>869</v>
      </c>
      <c r="J329" s="1102" t="s">
        <v>101</v>
      </c>
      <c r="M329" s="1102" t="s">
        <v>68</v>
      </c>
      <c r="N329" s="1102">
        <v>46076</v>
      </c>
      <c r="O329" s="1102" t="s">
        <v>132</v>
      </c>
      <c r="P329" s="1102" t="s">
        <v>1062</v>
      </c>
      <c r="Q329" s="1102" t="s">
        <v>1063</v>
      </c>
      <c r="R329" s="1102" t="s">
        <v>73</v>
      </c>
      <c r="S329" s="1102" t="s">
        <v>967</v>
      </c>
      <c r="T329" s="1102">
        <v>470</v>
      </c>
      <c r="U329" s="1102">
        <v>5184</v>
      </c>
      <c r="V329" s="1102">
        <v>2.43648</v>
      </c>
      <c r="W329" s="1102">
        <v>144</v>
      </c>
      <c r="X329" s="1102">
        <v>6</v>
      </c>
      <c r="Y329" s="1102" t="s">
        <v>75</v>
      </c>
      <c r="Z329" s="1102" t="s">
        <v>75</v>
      </c>
      <c r="AB329" s="1103">
        <v>46095</v>
      </c>
      <c r="AC329" s="1102">
        <v>11</v>
      </c>
      <c r="AD329" s="1102" t="s">
        <v>1648</v>
      </c>
      <c r="AF329" s="1102" t="s">
        <v>122</v>
      </c>
      <c r="AG329" s="1102" t="s">
        <v>123</v>
      </c>
      <c r="AH329" s="1102" t="s">
        <v>105</v>
      </c>
      <c r="AI329" s="1103">
        <v>46102</v>
      </c>
      <c r="AJ329" s="1103">
        <v>46103</v>
      </c>
      <c r="AK329" s="1103">
        <v>46103</v>
      </c>
      <c r="AL329" s="1103">
        <v>46144</v>
      </c>
      <c r="AM329" s="1103">
        <v>46151</v>
      </c>
      <c r="AN329" s="1103">
        <v>46153</v>
      </c>
      <c r="AO329" s="1102" t="s">
        <v>402</v>
      </c>
      <c r="AP329" s="1102" t="s">
        <v>1644</v>
      </c>
      <c r="AQ329" s="1102" t="s">
        <v>80</v>
      </c>
      <c r="AR329" s="1102" t="s">
        <v>1649</v>
      </c>
      <c r="AS329" s="1102" t="s">
        <v>1650</v>
      </c>
      <c r="AT329" s="1102" t="s">
        <v>1650</v>
      </c>
      <c r="AU329" s="1102">
        <v>50</v>
      </c>
      <c r="AW329" s="1103">
        <v>46153</v>
      </c>
      <c r="AX329" s="1102" t="s">
        <v>973</v>
      </c>
      <c r="AY329" s="1103">
        <v>46159</v>
      </c>
      <c r="AZ329" s="1102">
        <v>7</v>
      </c>
      <c r="BA329" s="1103">
        <v>46160</v>
      </c>
      <c r="BB329" s="1102">
        <v>2026</v>
      </c>
      <c r="BC329" s="1102">
        <v>5</v>
      </c>
      <c r="BD329" s="1102">
        <v>21</v>
      </c>
      <c r="BE329" s="1102">
        <v>36</v>
      </c>
      <c r="BF329" s="1102">
        <v>864</v>
      </c>
      <c r="BG329" s="1102" t="s">
        <v>108</v>
      </c>
      <c r="BH329" s="1102" t="s">
        <v>109</v>
      </c>
    </row>
    <row r="330" spans="1:60">
      <c r="A330" s="1102" t="s">
        <v>1651</v>
      </c>
      <c r="B330" s="1102" t="s">
        <v>111</v>
      </c>
      <c r="C330" s="1102" t="s">
        <v>991</v>
      </c>
      <c r="D330" s="1102" t="s">
        <v>63</v>
      </c>
      <c r="E330" s="1102" t="s">
        <v>64</v>
      </c>
      <c r="F330" s="1102" t="s">
        <v>100</v>
      </c>
      <c r="G330" s="1102" t="s">
        <v>402</v>
      </c>
      <c r="H330" s="1102" t="s">
        <v>67</v>
      </c>
      <c r="I330" s="1102" t="s">
        <v>1395</v>
      </c>
      <c r="J330" s="1102" t="s">
        <v>101</v>
      </c>
      <c r="M330" s="1102" t="s">
        <v>68</v>
      </c>
      <c r="N330" s="1102">
        <v>46048</v>
      </c>
      <c r="O330" s="1102" t="s">
        <v>132</v>
      </c>
      <c r="P330" s="1102" t="s">
        <v>133</v>
      </c>
      <c r="Q330" s="1102" t="s">
        <v>134</v>
      </c>
      <c r="R330" s="1102" t="s">
        <v>73</v>
      </c>
      <c r="S330" s="1102" t="s">
        <v>992</v>
      </c>
      <c r="T330" s="1102">
        <v>720</v>
      </c>
      <c r="U330" s="1102">
        <v>4158</v>
      </c>
      <c r="V330" s="1102">
        <v>2.99376</v>
      </c>
      <c r="W330" s="1102">
        <v>126</v>
      </c>
      <c r="X330" s="1102">
        <v>7</v>
      </c>
      <c r="Y330" s="1102" t="s">
        <v>75</v>
      </c>
      <c r="Z330" s="1102" t="s">
        <v>75</v>
      </c>
      <c r="AB330" s="1103">
        <v>46095</v>
      </c>
      <c r="AC330" s="1102">
        <v>11</v>
      </c>
      <c r="AD330" s="1102" t="s">
        <v>1652</v>
      </c>
      <c r="AF330" s="1102" t="s">
        <v>122</v>
      </c>
      <c r="AG330" s="1102" t="s">
        <v>123</v>
      </c>
      <c r="AH330" s="1102" t="s">
        <v>105</v>
      </c>
      <c r="AI330" s="1103">
        <v>46102</v>
      </c>
      <c r="AJ330" s="1103">
        <v>46103</v>
      </c>
      <c r="AK330" s="1103">
        <v>46103</v>
      </c>
      <c r="AL330" s="1103">
        <v>46144</v>
      </c>
      <c r="AM330" s="1103">
        <v>46151</v>
      </c>
      <c r="AN330" s="1103">
        <v>46153</v>
      </c>
      <c r="AO330" s="1102" t="s">
        <v>402</v>
      </c>
      <c r="AP330" s="1102" t="s">
        <v>1644</v>
      </c>
      <c r="AQ330" s="1102" t="s">
        <v>80</v>
      </c>
      <c r="AR330" s="1102" t="s">
        <v>1649</v>
      </c>
      <c r="AS330" s="1102" t="s">
        <v>1650</v>
      </c>
      <c r="AT330" s="1102" t="s">
        <v>1650</v>
      </c>
      <c r="AU330" s="1102">
        <v>50</v>
      </c>
      <c r="AW330" s="1103">
        <v>46153</v>
      </c>
      <c r="AX330" s="1102" t="s">
        <v>973</v>
      </c>
      <c r="AY330" s="1103">
        <v>46159</v>
      </c>
      <c r="AZ330" s="1102">
        <v>7</v>
      </c>
      <c r="BA330" s="1103">
        <v>46160</v>
      </c>
      <c r="BB330" s="1102">
        <v>2026</v>
      </c>
      <c r="BC330" s="1102">
        <v>5</v>
      </c>
      <c r="BD330" s="1102">
        <v>21</v>
      </c>
      <c r="BE330" s="1102">
        <v>33</v>
      </c>
      <c r="BF330" s="1102">
        <v>594</v>
      </c>
      <c r="BG330" s="1102" t="s">
        <v>108</v>
      </c>
      <c r="BH330" s="1102" t="s">
        <v>109</v>
      </c>
    </row>
    <row r="331" spans="1:60">
      <c r="A331" s="1102" t="s">
        <v>1653</v>
      </c>
      <c r="B331" s="1102" t="s">
        <v>111</v>
      </c>
      <c r="C331" s="1102" t="s">
        <v>991</v>
      </c>
      <c r="D331" s="1102" t="s">
        <v>63</v>
      </c>
      <c r="E331" s="1102" t="s">
        <v>64</v>
      </c>
      <c r="F331" s="1102" t="s">
        <v>100</v>
      </c>
      <c r="G331" s="1102" t="s">
        <v>402</v>
      </c>
      <c r="H331" s="1102" t="s">
        <v>67</v>
      </c>
      <c r="I331" s="1102" t="s">
        <v>689</v>
      </c>
      <c r="J331" s="1102" t="s">
        <v>1654</v>
      </c>
      <c r="M331" s="1102" t="s">
        <v>68</v>
      </c>
      <c r="N331" s="1102">
        <v>46048</v>
      </c>
      <c r="O331" s="1102" t="s">
        <v>132</v>
      </c>
      <c r="P331" s="1102" t="s">
        <v>133</v>
      </c>
      <c r="Q331" s="1102" t="s">
        <v>134</v>
      </c>
      <c r="R331" s="1102" t="s">
        <v>73</v>
      </c>
      <c r="S331" s="1102" t="s">
        <v>992</v>
      </c>
      <c r="T331" s="1102">
        <v>720</v>
      </c>
      <c r="U331" s="1102">
        <v>1188</v>
      </c>
      <c r="V331" s="1102">
        <v>0.85536000000000001</v>
      </c>
      <c r="W331" s="1102">
        <v>36</v>
      </c>
      <c r="X331" s="1102">
        <v>2</v>
      </c>
      <c r="Y331" s="1102" t="s">
        <v>75</v>
      </c>
      <c r="Z331" s="1102" t="s">
        <v>75</v>
      </c>
      <c r="AB331" s="1103">
        <v>46095</v>
      </c>
      <c r="AC331" s="1102">
        <v>11</v>
      </c>
      <c r="AD331" s="1102" t="s">
        <v>1655</v>
      </c>
      <c r="AF331" s="1102" t="s">
        <v>122</v>
      </c>
      <c r="AG331" s="1102" t="s">
        <v>123</v>
      </c>
      <c r="AH331" s="1102" t="s">
        <v>105</v>
      </c>
      <c r="AI331" s="1103">
        <v>46102</v>
      </c>
      <c r="AJ331" s="1103">
        <v>46103</v>
      </c>
      <c r="AK331" s="1103">
        <v>46103</v>
      </c>
      <c r="AL331" s="1103">
        <v>46144</v>
      </c>
      <c r="AM331" s="1103">
        <v>46151</v>
      </c>
      <c r="AN331" s="1103">
        <v>46153</v>
      </c>
      <c r="AO331" s="1102" t="s">
        <v>402</v>
      </c>
      <c r="AP331" s="1102" t="s">
        <v>1644</v>
      </c>
      <c r="AQ331" s="1102" t="s">
        <v>80</v>
      </c>
      <c r="AR331" s="1102" t="s">
        <v>1649</v>
      </c>
      <c r="AS331" s="1102" t="s">
        <v>1650</v>
      </c>
      <c r="AT331" s="1102" t="s">
        <v>1650</v>
      </c>
      <c r="AU331" s="1102">
        <v>50</v>
      </c>
      <c r="AW331" s="1103">
        <v>46153</v>
      </c>
      <c r="AX331" s="1102" t="s">
        <v>973</v>
      </c>
      <c r="AY331" s="1103">
        <v>46159</v>
      </c>
      <c r="AZ331" s="1102">
        <v>7</v>
      </c>
      <c r="BA331" s="1103">
        <v>46160</v>
      </c>
      <c r="BB331" s="1102">
        <v>2026</v>
      </c>
      <c r="BC331" s="1102">
        <v>5</v>
      </c>
      <c r="BD331" s="1102">
        <v>21</v>
      </c>
      <c r="BE331" s="1102">
        <v>33</v>
      </c>
      <c r="BF331" s="1102">
        <v>594</v>
      </c>
      <c r="BG331" s="1102" t="s">
        <v>108</v>
      </c>
      <c r="BH331" s="1102" t="s">
        <v>109</v>
      </c>
    </row>
    <row r="332" spans="1:60">
      <c r="A332" s="1102" t="s">
        <v>1656</v>
      </c>
      <c r="B332" s="1102" t="s">
        <v>111</v>
      </c>
      <c r="C332" s="1102" t="s">
        <v>1046</v>
      </c>
      <c r="D332" s="1102" t="s">
        <v>63</v>
      </c>
      <c r="E332" s="1102" t="s">
        <v>64</v>
      </c>
      <c r="F332" s="1102" t="s">
        <v>100</v>
      </c>
      <c r="G332" s="1102" t="s">
        <v>402</v>
      </c>
      <c r="H332" s="1102" t="s">
        <v>67</v>
      </c>
      <c r="I332" s="1102" t="s">
        <v>822</v>
      </c>
      <c r="J332" s="1102" t="s">
        <v>1047</v>
      </c>
      <c r="M332" s="1102" t="s">
        <v>68</v>
      </c>
      <c r="N332" s="1102">
        <v>46069</v>
      </c>
      <c r="O332" s="1102" t="s">
        <v>70</v>
      </c>
      <c r="P332" s="1102" t="s">
        <v>1002</v>
      </c>
      <c r="Q332" s="1102" t="s">
        <v>330</v>
      </c>
      <c r="R332" s="1102" t="s">
        <v>73</v>
      </c>
      <c r="S332" s="1102" t="s">
        <v>992</v>
      </c>
      <c r="T332" s="1102">
        <v>625</v>
      </c>
      <c r="U332" s="1102">
        <v>7920</v>
      </c>
      <c r="V332" s="1102">
        <v>4.95</v>
      </c>
      <c r="W332" s="1102">
        <v>220</v>
      </c>
      <c r="X332" s="1102">
        <v>11</v>
      </c>
      <c r="Y332" s="1102" t="s">
        <v>75</v>
      </c>
      <c r="Z332" s="1102" t="s">
        <v>75</v>
      </c>
      <c r="AA332" s="1102" t="s">
        <v>1500</v>
      </c>
      <c r="AB332" s="1103">
        <v>46096</v>
      </c>
      <c r="AC332" s="1102">
        <v>11</v>
      </c>
      <c r="AD332" s="1102" t="s">
        <v>1657</v>
      </c>
      <c r="AF332" s="1102" t="s">
        <v>122</v>
      </c>
      <c r="AG332" s="1102" t="s">
        <v>123</v>
      </c>
      <c r="AH332" s="1102" t="s">
        <v>105</v>
      </c>
      <c r="AI332" s="1103">
        <v>46103</v>
      </c>
      <c r="AJ332" s="1103">
        <v>46103</v>
      </c>
      <c r="AK332" s="1103">
        <v>46103</v>
      </c>
      <c r="AL332" s="1103">
        <v>46140</v>
      </c>
      <c r="AM332" s="1103">
        <v>46150</v>
      </c>
      <c r="AN332" s="1103">
        <v>46148</v>
      </c>
      <c r="AO332" s="1102" t="s">
        <v>402</v>
      </c>
      <c r="AP332" s="1102" t="s">
        <v>925</v>
      </c>
      <c r="AQ332" s="1102" t="s">
        <v>80</v>
      </c>
      <c r="AR332" s="1102" t="s">
        <v>1658</v>
      </c>
      <c r="AS332" s="1102" t="s">
        <v>1659</v>
      </c>
      <c r="AT332" s="1102" t="s">
        <v>1659</v>
      </c>
      <c r="AU332" s="1102">
        <v>45</v>
      </c>
      <c r="AW332" s="1103">
        <v>46148</v>
      </c>
      <c r="AX332" s="1102" t="s">
        <v>973</v>
      </c>
      <c r="AY332" s="1103">
        <v>46163</v>
      </c>
      <c r="AZ332" s="1102">
        <v>7</v>
      </c>
      <c r="BA332" s="1103">
        <v>46155</v>
      </c>
      <c r="BB332" s="1102">
        <v>2026</v>
      </c>
      <c r="BC332" s="1102">
        <v>5</v>
      </c>
      <c r="BD332" s="1102">
        <v>20</v>
      </c>
      <c r="BE332" s="1102">
        <v>36</v>
      </c>
      <c r="BF332" s="1102">
        <v>720</v>
      </c>
      <c r="BG332" s="1102" t="s">
        <v>128</v>
      </c>
      <c r="BH332" s="1102" t="s">
        <v>109</v>
      </c>
    </row>
    <row r="333" spans="1:60">
      <c r="A333" s="1102" t="s">
        <v>1660</v>
      </c>
      <c r="B333" s="1102" t="s">
        <v>111</v>
      </c>
      <c r="C333" s="1102" t="s">
        <v>1482</v>
      </c>
      <c r="D333" s="1102" t="s">
        <v>63</v>
      </c>
      <c r="E333" s="1102" t="s">
        <v>64</v>
      </c>
      <c r="F333" s="1102" t="s">
        <v>100</v>
      </c>
      <c r="G333" s="1102" t="s">
        <v>402</v>
      </c>
      <c r="H333" s="1102" t="s">
        <v>67</v>
      </c>
      <c r="I333" s="1102" t="s">
        <v>689</v>
      </c>
      <c r="J333" s="1102" t="s">
        <v>101</v>
      </c>
      <c r="M333" s="1102" t="s">
        <v>68</v>
      </c>
      <c r="N333" s="1102">
        <v>46093</v>
      </c>
      <c r="O333" s="1102" t="s">
        <v>70</v>
      </c>
      <c r="P333" s="1102" t="s">
        <v>1483</v>
      </c>
      <c r="Q333" s="1102" t="s">
        <v>1484</v>
      </c>
      <c r="R333" s="1102" t="s">
        <v>73</v>
      </c>
      <c r="S333" s="1102" t="s">
        <v>992</v>
      </c>
      <c r="T333" s="1102">
        <v>725</v>
      </c>
      <c r="U333" s="1102">
        <v>8910</v>
      </c>
      <c r="V333" s="1102">
        <v>6.4597499999999997</v>
      </c>
      <c r="W333" s="1102">
        <v>270</v>
      </c>
      <c r="X333" s="1102">
        <v>15</v>
      </c>
      <c r="Y333" s="1102" t="s">
        <v>75</v>
      </c>
      <c r="Z333" s="1102" t="s">
        <v>75</v>
      </c>
      <c r="AB333" s="1103">
        <v>46096</v>
      </c>
      <c r="AC333" s="1102">
        <v>11</v>
      </c>
      <c r="AD333" s="1102" t="s">
        <v>1661</v>
      </c>
      <c r="AF333" s="1102" t="s">
        <v>1643</v>
      </c>
      <c r="AG333" s="1102" t="s">
        <v>123</v>
      </c>
      <c r="AH333" s="1102" t="s">
        <v>105</v>
      </c>
      <c r="AI333" s="1103">
        <v>46102</v>
      </c>
      <c r="AJ333" s="1103">
        <v>46112</v>
      </c>
      <c r="AK333" s="1103">
        <v>46112</v>
      </c>
      <c r="AL333" s="1103">
        <v>46144</v>
      </c>
      <c r="AM333" s="1103">
        <v>46154</v>
      </c>
      <c r="AN333" s="1103">
        <v>46157</v>
      </c>
      <c r="AO333" s="1102" t="s">
        <v>402</v>
      </c>
      <c r="AP333" s="1102" t="s">
        <v>1644</v>
      </c>
      <c r="AQ333" s="1102" t="s">
        <v>80</v>
      </c>
      <c r="AR333" s="1102" t="s">
        <v>1662</v>
      </c>
      <c r="AS333" s="1102" t="s">
        <v>1663</v>
      </c>
      <c r="AT333" s="1102" t="s">
        <v>1663</v>
      </c>
      <c r="AU333" s="1102">
        <v>45</v>
      </c>
      <c r="AW333" s="1103">
        <v>46157</v>
      </c>
      <c r="AX333" s="1102" t="s">
        <v>973</v>
      </c>
      <c r="AY333" s="1103">
        <v>46168</v>
      </c>
      <c r="AZ333" s="1102">
        <v>7</v>
      </c>
      <c r="BA333" s="1103">
        <v>46164</v>
      </c>
      <c r="BB333" s="1102">
        <v>2026</v>
      </c>
      <c r="BC333" s="1102">
        <v>5</v>
      </c>
      <c r="BD333" s="1102">
        <v>21</v>
      </c>
      <c r="BE333" s="1102">
        <v>33</v>
      </c>
      <c r="BF333" s="1102">
        <v>594</v>
      </c>
      <c r="BG333" s="1102" t="s">
        <v>128</v>
      </c>
      <c r="BH333" s="1102" t="s">
        <v>109</v>
      </c>
    </row>
    <row r="334" spans="1:60">
      <c r="A334" s="1102" t="s">
        <v>1664</v>
      </c>
      <c r="B334" s="1102" t="s">
        <v>111</v>
      </c>
      <c r="C334" s="1102" t="s">
        <v>1482</v>
      </c>
      <c r="D334" s="1102" t="s">
        <v>63</v>
      </c>
      <c r="E334" s="1102" t="s">
        <v>64</v>
      </c>
      <c r="F334" s="1102" t="s">
        <v>100</v>
      </c>
      <c r="G334" s="1102" t="s">
        <v>402</v>
      </c>
      <c r="H334" s="1102" t="s">
        <v>67</v>
      </c>
      <c r="I334" s="1102" t="s">
        <v>689</v>
      </c>
      <c r="J334" s="1102" t="s">
        <v>101</v>
      </c>
      <c r="M334" s="1102" t="s">
        <v>68</v>
      </c>
      <c r="N334" s="1102">
        <v>46093</v>
      </c>
      <c r="O334" s="1102" t="s">
        <v>70</v>
      </c>
      <c r="P334" s="1102" t="s">
        <v>1483</v>
      </c>
      <c r="Q334" s="1102" t="s">
        <v>1484</v>
      </c>
      <c r="R334" s="1102" t="s">
        <v>73</v>
      </c>
      <c r="S334" s="1102" t="s">
        <v>992</v>
      </c>
      <c r="T334" s="1102">
        <v>725</v>
      </c>
      <c r="U334" s="1102">
        <v>594</v>
      </c>
      <c r="V334" s="1102">
        <v>0.43064999999999998</v>
      </c>
      <c r="W334" s="1102">
        <v>18</v>
      </c>
      <c r="X334" s="1102">
        <v>1</v>
      </c>
      <c r="Y334" s="1102" t="s">
        <v>75</v>
      </c>
      <c r="Z334" s="1102" t="s">
        <v>75</v>
      </c>
      <c r="AB334" s="1103">
        <v>46097</v>
      </c>
      <c r="AC334" s="1102">
        <v>12</v>
      </c>
      <c r="AD334" s="1102" t="s">
        <v>1665</v>
      </c>
      <c r="AF334" s="1102" t="s">
        <v>122</v>
      </c>
      <c r="AG334" s="1102" t="s">
        <v>123</v>
      </c>
      <c r="AH334" s="1102" t="s">
        <v>105</v>
      </c>
      <c r="AI334" s="1103">
        <v>46100</v>
      </c>
      <c r="AJ334" s="1103">
        <v>46101</v>
      </c>
      <c r="AK334" s="1103">
        <v>46101</v>
      </c>
      <c r="AL334" s="1103">
        <v>46140</v>
      </c>
      <c r="AM334" s="1103">
        <v>46151</v>
      </c>
      <c r="AN334" s="1103">
        <v>46151</v>
      </c>
      <c r="AO334" s="1102" t="s">
        <v>402</v>
      </c>
      <c r="AP334" s="1102" t="s">
        <v>1666</v>
      </c>
      <c r="AQ334" s="1102" t="s">
        <v>161</v>
      </c>
      <c r="AR334" s="1102" t="s">
        <v>1667</v>
      </c>
      <c r="AS334" s="1102" t="s">
        <v>1668</v>
      </c>
      <c r="AT334" s="1102" t="s">
        <v>1669</v>
      </c>
      <c r="AU334" s="1102">
        <v>50</v>
      </c>
      <c r="AW334" s="1103">
        <v>46151</v>
      </c>
      <c r="AX334" s="1102" t="s">
        <v>973</v>
      </c>
      <c r="AY334" s="1103">
        <v>46153</v>
      </c>
      <c r="AZ334" s="1102">
        <v>7</v>
      </c>
      <c r="BA334" s="1103">
        <v>46158</v>
      </c>
      <c r="BB334" s="1102">
        <v>2026</v>
      </c>
      <c r="BC334" s="1102">
        <v>5</v>
      </c>
      <c r="BD334" s="1102">
        <v>20</v>
      </c>
      <c r="BE334" s="1102">
        <v>33</v>
      </c>
      <c r="BF334" s="1102">
        <v>594</v>
      </c>
      <c r="BG334" s="1102" t="s">
        <v>128</v>
      </c>
      <c r="BH334" s="1102" t="s">
        <v>109</v>
      </c>
    </row>
    <row r="335" spans="1:60">
      <c r="A335" s="1102" t="s">
        <v>1670</v>
      </c>
      <c r="B335" s="1102" t="s">
        <v>111</v>
      </c>
      <c r="C335" s="1102" t="s">
        <v>991</v>
      </c>
      <c r="D335" s="1102" t="s">
        <v>63</v>
      </c>
      <c r="E335" s="1102" t="s">
        <v>64</v>
      </c>
      <c r="F335" s="1102" t="s">
        <v>100</v>
      </c>
      <c r="G335" s="1102" t="s">
        <v>402</v>
      </c>
      <c r="H335" s="1102" t="s">
        <v>67</v>
      </c>
      <c r="I335" s="1102" t="s">
        <v>689</v>
      </c>
      <c r="J335" s="1102" t="s">
        <v>101</v>
      </c>
      <c r="M335" s="1102" t="s">
        <v>68</v>
      </c>
      <c r="N335" s="1102">
        <v>46048</v>
      </c>
      <c r="O335" s="1102" t="s">
        <v>132</v>
      </c>
      <c r="P335" s="1102" t="s">
        <v>133</v>
      </c>
      <c r="Q335" s="1102" t="s">
        <v>134</v>
      </c>
      <c r="R335" s="1102" t="s">
        <v>73</v>
      </c>
      <c r="S335" s="1102" t="s">
        <v>992</v>
      </c>
      <c r="T335" s="1102">
        <v>720</v>
      </c>
      <c r="U335" s="1102">
        <v>2970</v>
      </c>
      <c r="V335" s="1102">
        <v>2.1383999999999999</v>
      </c>
      <c r="W335" s="1102">
        <v>90</v>
      </c>
      <c r="X335" s="1102">
        <v>5</v>
      </c>
      <c r="Y335" s="1102" t="s">
        <v>75</v>
      </c>
      <c r="Z335" s="1102" t="s">
        <v>75</v>
      </c>
      <c r="AB335" s="1103">
        <v>46097</v>
      </c>
      <c r="AC335" s="1102">
        <v>12</v>
      </c>
      <c r="AD335" s="1102" t="s">
        <v>1671</v>
      </c>
      <c r="AF335" s="1102" t="s">
        <v>122</v>
      </c>
      <c r="AG335" s="1102" t="s">
        <v>123</v>
      </c>
      <c r="AH335" s="1102" t="s">
        <v>105</v>
      </c>
      <c r="AI335" s="1103">
        <v>46100</v>
      </c>
      <c r="AJ335" s="1103">
        <v>46101</v>
      </c>
      <c r="AK335" s="1103">
        <v>46101</v>
      </c>
      <c r="AL335" s="1103">
        <v>46140</v>
      </c>
      <c r="AM335" s="1103">
        <v>46151</v>
      </c>
      <c r="AN335" s="1103">
        <v>46151</v>
      </c>
      <c r="AO335" s="1102" t="s">
        <v>402</v>
      </c>
      <c r="AP335" s="1102" t="s">
        <v>1666</v>
      </c>
      <c r="AQ335" s="1102" t="s">
        <v>161</v>
      </c>
      <c r="AR335" s="1102" t="s">
        <v>1667</v>
      </c>
      <c r="AS335" s="1102" t="s">
        <v>1668</v>
      </c>
      <c r="AT335" s="1102" t="s">
        <v>1669</v>
      </c>
      <c r="AU335" s="1102">
        <v>50</v>
      </c>
      <c r="AW335" s="1103">
        <v>46151</v>
      </c>
      <c r="AX335" s="1102" t="s">
        <v>973</v>
      </c>
      <c r="AY335" s="1103">
        <v>46153</v>
      </c>
      <c r="AZ335" s="1102">
        <v>7</v>
      </c>
      <c r="BA335" s="1103">
        <v>46158</v>
      </c>
      <c r="BB335" s="1102">
        <v>2026</v>
      </c>
      <c r="BC335" s="1102">
        <v>5</v>
      </c>
      <c r="BD335" s="1102">
        <v>20</v>
      </c>
      <c r="BE335" s="1102">
        <v>33</v>
      </c>
      <c r="BF335" s="1102">
        <v>594</v>
      </c>
      <c r="BG335" s="1102" t="s">
        <v>108</v>
      </c>
      <c r="BH335" s="1102" t="s">
        <v>109</v>
      </c>
    </row>
    <row r="336" spans="1:60">
      <c r="A336" s="1102" t="s">
        <v>1672</v>
      </c>
      <c r="B336" s="1102" t="s">
        <v>111</v>
      </c>
      <c r="C336" s="1102" t="s">
        <v>1318</v>
      </c>
      <c r="D336" s="1102" t="s">
        <v>63</v>
      </c>
      <c r="E336" s="1102" t="s">
        <v>64</v>
      </c>
      <c r="F336" s="1102" t="s">
        <v>100</v>
      </c>
      <c r="G336" s="1102" t="s">
        <v>402</v>
      </c>
      <c r="H336" s="1102" t="s">
        <v>67</v>
      </c>
      <c r="I336" s="1102" t="s">
        <v>689</v>
      </c>
      <c r="J336" s="1102" t="s">
        <v>483</v>
      </c>
      <c r="M336" s="1102" t="s">
        <v>68</v>
      </c>
      <c r="N336" s="1102">
        <v>46083</v>
      </c>
      <c r="O336" s="1102" t="s">
        <v>473</v>
      </c>
      <c r="P336" s="1102" t="s">
        <v>474</v>
      </c>
      <c r="Q336" s="1102" t="s">
        <v>1319</v>
      </c>
      <c r="R336" s="1102" t="s">
        <v>73</v>
      </c>
      <c r="S336" s="1102" t="s">
        <v>967</v>
      </c>
      <c r="T336" s="1102">
        <v>460</v>
      </c>
      <c r="U336" s="1102">
        <v>6048</v>
      </c>
      <c r="V336" s="1102">
        <v>2.7820800000000001</v>
      </c>
      <c r="W336" s="1102">
        <v>168</v>
      </c>
      <c r="X336" s="1102">
        <v>7</v>
      </c>
      <c r="Y336" s="1102" t="s">
        <v>75</v>
      </c>
      <c r="Z336" s="1102" t="s">
        <v>75</v>
      </c>
      <c r="AA336" s="1102" t="s">
        <v>1548</v>
      </c>
      <c r="AB336" s="1103">
        <v>46097</v>
      </c>
      <c r="AC336" s="1102">
        <v>12</v>
      </c>
      <c r="AD336" s="1102" t="s">
        <v>1673</v>
      </c>
      <c r="AF336" s="1102" t="s">
        <v>122</v>
      </c>
      <c r="AG336" s="1102" t="s">
        <v>123</v>
      </c>
      <c r="AH336" s="1102" t="s">
        <v>105</v>
      </c>
      <c r="AI336" s="1103">
        <v>46100</v>
      </c>
      <c r="AJ336" s="1103">
        <v>46101</v>
      </c>
      <c r="AK336" s="1103">
        <v>46101</v>
      </c>
      <c r="AL336" s="1103">
        <v>46147</v>
      </c>
      <c r="AM336" s="1103">
        <v>46151</v>
      </c>
      <c r="AN336" s="1103">
        <v>46152</v>
      </c>
      <c r="AO336" s="1102" t="s">
        <v>402</v>
      </c>
      <c r="AP336" s="1102" t="s">
        <v>1674</v>
      </c>
      <c r="AQ336" s="1102" t="s">
        <v>161</v>
      </c>
      <c r="AR336" s="1102" t="s">
        <v>1675</v>
      </c>
      <c r="AS336" s="1102" t="s">
        <v>1676</v>
      </c>
      <c r="AT336" s="1102" t="s">
        <v>1677</v>
      </c>
      <c r="AU336" s="1102">
        <v>51</v>
      </c>
      <c r="AW336" s="1103">
        <v>46152</v>
      </c>
      <c r="AX336" s="1102" t="s">
        <v>973</v>
      </c>
      <c r="AY336" s="1103">
        <v>46153</v>
      </c>
      <c r="AZ336" s="1102">
        <v>7</v>
      </c>
      <c r="BA336" s="1103">
        <v>46159</v>
      </c>
      <c r="BB336" s="1102">
        <v>2026</v>
      </c>
      <c r="BC336" s="1102">
        <v>5</v>
      </c>
      <c r="BD336" s="1102">
        <v>20</v>
      </c>
      <c r="BE336" s="1102">
        <v>36</v>
      </c>
      <c r="BF336" s="1102">
        <v>864</v>
      </c>
      <c r="BG336" s="1102" t="s">
        <v>85</v>
      </c>
      <c r="BH336" s="1102" t="s">
        <v>109</v>
      </c>
    </row>
    <row r="337" spans="1:60">
      <c r="A337" s="1102" t="s">
        <v>1678</v>
      </c>
      <c r="B337" s="1102" t="s">
        <v>111</v>
      </c>
      <c r="C337" s="1102" t="s">
        <v>1679</v>
      </c>
      <c r="D337" s="1102" t="s">
        <v>63</v>
      </c>
      <c r="E337" s="1102" t="s">
        <v>64</v>
      </c>
      <c r="F337" s="1102" t="s">
        <v>100</v>
      </c>
      <c r="G337" s="1102" t="s">
        <v>402</v>
      </c>
      <c r="H337" s="1102" t="s">
        <v>67</v>
      </c>
      <c r="I337" s="1102" t="s">
        <v>689</v>
      </c>
      <c r="J337" s="1102" t="s">
        <v>1680</v>
      </c>
      <c r="M337" s="1102" t="s">
        <v>68</v>
      </c>
      <c r="N337" s="1102">
        <v>46093</v>
      </c>
      <c r="O337" s="1102" t="s">
        <v>70</v>
      </c>
      <c r="P337" s="1102" t="s">
        <v>1681</v>
      </c>
      <c r="Q337" s="1102" t="s">
        <v>1682</v>
      </c>
      <c r="R337" s="1102" t="s">
        <v>73</v>
      </c>
      <c r="S337" s="1102" t="s">
        <v>992</v>
      </c>
      <c r="T337" s="1102">
        <v>730</v>
      </c>
      <c r="U337" s="1102">
        <v>1782</v>
      </c>
      <c r="V337" s="1102">
        <v>1.3008599999999999</v>
      </c>
      <c r="W337" s="1102">
        <v>54</v>
      </c>
      <c r="X337" s="1102">
        <v>3</v>
      </c>
      <c r="Y337" s="1102" t="s">
        <v>75</v>
      </c>
      <c r="Z337" s="1102" t="s">
        <v>75</v>
      </c>
      <c r="AB337" s="1103">
        <v>46096</v>
      </c>
      <c r="AC337" s="1102">
        <v>11</v>
      </c>
      <c r="AD337" s="1102" t="s">
        <v>1683</v>
      </c>
      <c r="AF337" s="1102" t="s">
        <v>122</v>
      </c>
      <c r="AG337" s="1102" t="s">
        <v>123</v>
      </c>
      <c r="AH337" s="1102" t="s">
        <v>105</v>
      </c>
      <c r="AI337" s="1103">
        <v>46103</v>
      </c>
      <c r="AJ337" s="1103">
        <v>46104</v>
      </c>
      <c r="AK337" s="1103">
        <v>46104</v>
      </c>
      <c r="AL337" s="1103">
        <v>46140</v>
      </c>
      <c r="AM337" s="1103">
        <v>46151</v>
      </c>
      <c r="AN337" s="1103">
        <v>46148</v>
      </c>
      <c r="AO337" s="1102" t="s">
        <v>402</v>
      </c>
      <c r="AP337" s="1102" t="s">
        <v>1684</v>
      </c>
      <c r="AQ337" s="1102" t="s">
        <v>161</v>
      </c>
      <c r="AR337" s="1102" t="s">
        <v>1685</v>
      </c>
      <c r="AS337" s="1102" t="s">
        <v>1686</v>
      </c>
      <c r="AT337" s="1102" t="s">
        <v>1687</v>
      </c>
      <c r="AU337" s="1102">
        <v>44</v>
      </c>
      <c r="AW337" s="1103">
        <v>46148</v>
      </c>
      <c r="AX337" s="1102" t="s">
        <v>973</v>
      </c>
      <c r="AY337" s="1103">
        <v>46155</v>
      </c>
      <c r="AZ337" s="1102">
        <v>7</v>
      </c>
      <c r="BA337" s="1103">
        <v>46155</v>
      </c>
      <c r="BB337" s="1102">
        <v>2026</v>
      </c>
      <c r="BC337" s="1102">
        <v>5</v>
      </c>
      <c r="BD337" s="1102">
        <v>20</v>
      </c>
      <c r="BE337" s="1102">
        <v>33</v>
      </c>
      <c r="BF337" s="1102">
        <v>594</v>
      </c>
      <c r="BG337" s="1102" t="s">
        <v>94</v>
      </c>
      <c r="BH337" s="1102" t="s">
        <v>109</v>
      </c>
    </row>
    <row r="338" spans="1:60">
      <c r="A338" s="1102" t="s">
        <v>1688</v>
      </c>
      <c r="B338" s="1102" t="s">
        <v>111</v>
      </c>
      <c r="C338" s="1102" t="s">
        <v>1459</v>
      </c>
      <c r="D338" s="1102" t="s">
        <v>63</v>
      </c>
      <c r="E338" s="1102" t="s">
        <v>64</v>
      </c>
      <c r="F338" s="1102" t="s">
        <v>100</v>
      </c>
      <c r="G338" s="1102" t="s">
        <v>402</v>
      </c>
      <c r="H338" s="1102" t="s">
        <v>67</v>
      </c>
      <c r="I338" s="1102" t="s">
        <v>689</v>
      </c>
      <c r="J338" s="1102" t="s">
        <v>101</v>
      </c>
      <c r="M338" s="1102" t="s">
        <v>68</v>
      </c>
      <c r="N338" s="1102">
        <v>46097</v>
      </c>
      <c r="O338" s="1102" t="s">
        <v>70</v>
      </c>
      <c r="P338" s="1102" t="s">
        <v>1461</v>
      </c>
      <c r="Q338" s="1102" t="s">
        <v>103</v>
      </c>
      <c r="R338" s="1102" t="s">
        <v>73</v>
      </c>
      <c r="S338" s="1102" t="s">
        <v>992</v>
      </c>
      <c r="T338" s="1102">
        <v>620</v>
      </c>
      <c r="U338" s="1102">
        <v>2160</v>
      </c>
      <c r="V338" s="1102">
        <v>1.3391999999999999</v>
      </c>
      <c r="W338" s="1102">
        <v>60</v>
      </c>
      <c r="X338" s="1102">
        <v>3</v>
      </c>
      <c r="Y338" s="1102" t="s">
        <v>75</v>
      </c>
      <c r="Z338" s="1102" t="s">
        <v>75</v>
      </c>
      <c r="AB338" s="1103">
        <v>46096</v>
      </c>
      <c r="AC338" s="1102">
        <v>11</v>
      </c>
      <c r="AD338" s="1102" t="s">
        <v>1689</v>
      </c>
      <c r="AF338" s="1102" t="s">
        <v>122</v>
      </c>
      <c r="AG338" s="1102" t="s">
        <v>123</v>
      </c>
      <c r="AH338" s="1102" t="s">
        <v>105</v>
      </c>
      <c r="AI338" s="1103">
        <v>46103</v>
      </c>
      <c r="AJ338" s="1103">
        <v>46104</v>
      </c>
      <c r="AK338" s="1103">
        <v>46104</v>
      </c>
      <c r="AL338" s="1103">
        <v>46140</v>
      </c>
      <c r="AM338" s="1103">
        <v>46151</v>
      </c>
      <c r="AN338" s="1103">
        <v>46148</v>
      </c>
      <c r="AO338" s="1102" t="s">
        <v>402</v>
      </c>
      <c r="AP338" s="1102" t="s">
        <v>1684</v>
      </c>
      <c r="AQ338" s="1102" t="s">
        <v>161</v>
      </c>
      <c r="AR338" s="1102" t="s">
        <v>1685</v>
      </c>
      <c r="AS338" s="1102" t="s">
        <v>1686</v>
      </c>
      <c r="AT338" s="1102" t="s">
        <v>1687</v>
      </c>
      <c r="AU338" s="1102">
        <v>44</v>
      </c>
      <c r="AW338" s="1103">
        <v>46148</v>
      </c>
      <c r="AX338" s="1102" t="s">
        <v>973</v>
      </c>
      <c r="AY338" s="1103">
        <v>46155</v>
      </c>
      <c r="AZ338" s="1102">
        <v>7</v>
      </c>
      <c r="BA338" s="1103">
        <v>46155</v>
      </c>
      <c r="BB338" s="1102">
        <v>2026</v>
      </c>
      <c r="BC338" s="1102">
        <v>5</v>
      </c>
      <c r="BD338" s="1102">
        <v>20</v>
      </c>
      <c r="BE338" s="1102">
        <v>36</v>
      </c>
      <c r="BF338" s="1102">
        <v>720</v>
      </c>
      <c r="BG338" s="1102" t="s">
        <v>128</v>
      </c>
      <c r="BH338" s="1102" t="s">
        <v>109</v>
      </c>
    </row>
    <row r="339" spans="1:60">
      <c r="A339" s="1102" t="s">
        <v>1690</v>
      </c>
      <c r="B339" s="1102" t="s">
        <v>111</v>
      </c>
      <c r="C339" s="1102" t="s">
        <v>1459</v>
      </c>
      <c r="D339" s="1102" t="s">
        <v>63</v>
      </c>
      <c r="E339" s="1102" t="s">
        <v>64</v>
      </c>
      <c r="F339" s="1102" t="s">
        <v>100</v>
      </c>
      <c r="G339" s="1102" t="s">
        <v>402</v>
      </c>
      <c r="H339" s="1102" t="s">
        <v>67</v>
      </c>
      <c r="I339" s="1102" t="s">
        <v>689</v>
      </c>
      <c r="J339" s="1102" t="s">
        <v>101</v>
      </c>
      <c r="M339" s="1102" t="s">
        <v>68</v>
      </c>
      <c r="N339" s="1102">
        <v>46097</v>
      </c>
      <c r="O339" s="1102" t="s">
        <v>70</v>
      </c>
      <c r="P339" s="1102" t="s">
        <v>1461</v>
      </c>
      <c r="Q339" s="1102" t="s">
        <v>103</v>
      </c>
      <c r="R339" s="1102" t="s">
        <v>73</v>
      </c>
      <c r="S339" s="1102" t="s">
        <v>992</v>
      </c>
      <c r="T339" s="1102">
        <v>620</v>
      </c>
      <c r="U339" s="1102">
        <v>10800</v>
      </c>
      <c r="V339" s="1102">
        <v>6.6959999999999997</v>
      </c>
      <c r="W339" s="1102">
        <v>300</v>
      </c>
      <c r="X339" s="1102">
        <v>15</v>
      </c>
      <c r="Y339" s="1102" t="s">
        <v>75</v>
      </c>
      <c r="Z339" s="1102" t="s">
        <v>75</v>
      </c>
      <c r="AB339" s="1103">
        <v>46097</v>
      </c>
      <c r="AC339" s="1102">
        <v>12</v>
      </c>
      <c r="AD339" s="1102" t="s">
        <v>1691</v>
      </c>
      <c r="AF339" s="1102" t="s">
        <v>1643</v>
      </c>
      <c r="AG339" s="1102" t="s">
        <v>123</v>
      </c>
      <c r="AH339" s="1102" t="s">
        <v>105</v>
      </c>
      <c r="AI339" s="1103">
        <v>46102</v>
      </c>
      <c r="AJ339" s="1103">
        <v>46112</v>
      </c>
      <c r="AK339" s="1103">
        <v>46112</v>
      </c>
      <c r="AL339" s="1103">
        <v>46140</v>
      </c>
      <c r="AM339" s="1103">
        <v>46154</v>
      </c>
      <c r="AN339" s="1103">
        <v>46157</v>
      </c>
      <c r="AO339" s="1102" t="s">
        <v>402</v>
      </c>
      <c r="AP339" s="1102" t="s">
        <v>1644</v>
      </c>
      <c r="AQ339" s="1102" t="s">
        <v>80</v>
      </c>
      <c r="AR339" s="1102" t="s">
        <v>1692</v>
      </c>
      <c r="AS339" s="1102" t="s">
        <v>1693</v>
      </c>
      <c r="AT339" s="1102" t="s">
        <v>1693</v>
      </c>
      <c r="AU339" s="1102">
        <v>45</v>
      </c>
      <c r="AW339" s="1103">
        <v>46157</v>
      </c>
      <c r="AX339" s="1102" t="s">
        <v>973</v>
      </c>
      <c r="AY339" s="1103">
        <v>46170</v>
      </c>
      <c r="AZ339" s="1102">
        <v>7</v>
      </c>
      <c r="BA339" s="1103">
        <v>46164</v>
      </c>
      <c r="BB339" s="1102">
        <v>2026</v>
      </c>
      <c r="BC339" s="1102">
        <v>5</v>
      </c>
      <c r="BD339" s="1102">
        <v>21</v>
      </c>
      <c r="BE339" s="1102">
        <v>36</v>
      </c>
      <c r="BF339" s="1102">
        <v>720</v>
      </c>
      <c r="BG339" s="1102" t="s">
        <v>128</v>
      </c>
      <c r="BH339" s="1102" t="s">
        <v>109</v>
      </c>
    </row>
    <row r="340" spans="1:60">
      <c r="A340" s="1102" t="s">
        <v>1679</v>
      </c>
      <c r="B340" s="1102" t="s">
        <v>111</v>
      </c>
      <c r="C340" s="1102" t="s">
        <v>203</v>
      </c>
      <c r="D340" s="1102" t="s">
        <v>63</v>
      </c>
      <c r="E340" s="1102" t="s">
        <v>64</v>
      </c>
      <c r="F340" s="1102" t="s">
        <v>100</v>
      </c>
      <c r="G340" s="1102" t="s">
        <v>402</v>
      </c>
      <c r="H340" s="1102" t="s">
        <v>67</v>
      </c>
      <c r="I340" s="1102" t="s">
        <v>689</v>
      </c>
      <c r="J340" s="1102" t="s">
        <v>1680</v>
      </c>
      <c r="M340" s="1102" t="s">
        <v>68</v>
      </c>
      <c r="N340" s="1102">
        <v>46093</v>
      </c>
      <c r="O340" s="1102" t="s">
        <v>70</v>
      </c>
      <c r="P340" s="1102" t="s">
        <v>1681</v>
      </c>
      <c r="Q340" s="1102" t="s">
        <v>1682</v>
      </c>
      <c r="R340" s="1102" t="s">
        <v>73</v>
      </c>
      <c r="S340" s="1102" t="s">
        <v>992</v>
      </c>
      <c r="T340" s="1102">
        <v>730</v>
      </c>
      <c r="U340" s="1102">
        <v>6534</v>
      </c>
      <c r="V340" s="1102">
        <v>4.7698200000000002</v>
      </c>
      <c r="W340" s="1102">
        <v>198</v>
      </c>
      <c r="X340" s="1102">
        <v>11</v>
      </c>
      <c r="Y340" s="1102" t="s">
        <v>75</v>
      </c>
      <c r="Z340" s="1102" t="s">
        <v>75</v>
      </c>
      <c r="AB340" s="1103">
        <v>46097</v>
      </c>
      <c r="AC340" s="1102">
        <v>12</v>
      </c>
      <c r="AD340" s="1102" t="s">
        <v>1694</v>
      </c>
      <c r="AF340" s="1102" t="s">
        <v>1643</v>
      </c>
      <c r="AG340" s="1102" t="s">
        <v>123</v>
      </c>
      <c r="AH340" s="1102" t="s">
        <v>105</v>
      </c>
      <c r="AI340" s="1103">
        <v>46102</v>
      </c>
      <c r="AJ340" s="1103">
        <v>46112</v>
      </c>
      <c r="AK340" s="1103">
        <v>46112</v>
      </c>
      <c r="AL340" s="1103">
        <v>46140</v>
      </c>
      <c r="AM340" s="1103">
        <v>46154</v>
      </c>
      <c r="AN340" s="1103">
        <v>46157</v>
      </c>
      <c r="AO340" s="1102" t="s">
        <v>402</v>
      </c>
      <c r="AP340" s="1102" t="s">
        <v>1644</v>
      </c>
      <c r="AQ340" s="1102" t="s">
        <v>80</v>
      </c>
      <c r="AR340" s="1102" t="s">
        <v>1695</v>
      </c>
      <c r="AS340" s="1102" t="s">
        <v>1696</v>
      </c>
      <c r="AT340" s="1102" t="s">
        <v>1696</v>
      </c>
      <c r="AU340" s="1102">
        <v>45</v>
      </c>
      <c r="AW340" s="1103">
        <v>46157</v>
      </c>
      <c r="AX340" s="1102" t="s">
        <v>973</v>
      </c>
      <c r="AY340" s="1103">
        <v>46170</v>
      </c>
      <c r="AZ340" s="1102">
        <v>7</v>
      </c>
      <c r="BA340" s="1103">
        <v>46164</v>
      </c>
      <c r="BB340" s="1102">
        <v>2026</v>
      </c>
      <c r="BC340" s="1102">
        <v>5</v>
      </c>
      <c r="BD340" s="1102">
        <v>21</v>
      </c>
      <c r="BE340" s="1102">
        <v>33</v>
      </c>
      <c r="BF340" s="1102">
        <v>594</v>
      </c>
      <c r="BG340" s="1102" t="s">
        <v>94</v>
      </c>
      <c r="BH340" s="1102" t="s">
        <v>109</v>
      </c>
    </row>
    <row r="341" spans="1:60">
      <c r="A341" s="1102" t="s">
        <v>1697</v>
      </c>
      <c r="B341" s="1102" t="s">
        <v>111</v>
      </c>
      <c r="C341" s="1102" t="s">
        <v>1459</v>
      </c>
      <c r="D341" s="1102" t="s">
        <v>63</v>
      </c>
      <c r="E341" s="1102" t="s">
        <v>64</v>
      </c>
      <c r="F341" s="1102" t="s">
        <v>100</v>
      </c>
      <c r="G341" s="1102" t="s">
        <v>402</v>
      </c>
      <c r="H341" s="1102" t="s">
        <v>67</v>
      </c>
      <c r="I341" s="1102" t="s">
        <v>689</v>
      </c>
      <c r="J341" s="1102" t="s">
        <v>917</v>
      </c>
      <c r="M341" s="1102" t="s">
        <v>68</v>
      </c>
      <c r="N341" s="1102">
        <v>46097</v>
      </c>
      <c r="O341" s="1102" t="s">
        <v>70</v>
      </c>
      <c r="P341" s="1102" t="s">
        <v>1461</v>
      </c>
      <c r="Q341" s="1102" t="s">
        <v>103</v>
      </c>
      <c r="R341" s="1102" t="s">
        <v>73</v>
      </c>
      <c r="S341" s="1102" t="s">
        <v>992</v>
      </c>
      <c r="T341" s="1102">
        <v>620</v>
      </c>
      <c r="U341" s="1102">
        <v>1440</v>
      </c>
      <c r="V341" s="1102">
        <v>0.89280000000000004</v>
      </c>
      <c r="W341" s="1102">
        <v>40</v>
      </c>
      <c r="X341" s="1102">
        <v>2</v>
      </c>
      <c r="Y341" s="1102" t="s">
        <v>75</v>
      </c>
      <c r="Z341" s="1102" t="s">
        <v>75</v>
      </c>
      <c r="AB341" s="1103">
        <v>46098</v>
      </c>
      <c r="AC341" s="1102">
        <v>12</v>
      </c>
      <c r="AD341" s="1102" t="s">
        <v>1698</v>
      </c>
      <c r="AF341" s="1102" t="s">
        <v>1643</v>
      </c>
      <c r="AG341" s="1102" t="s">
        <v>123</v>
      </c>
      <c r="AH341" s="1102" t="s">
        <v>105</v>
      </c>
      <c r="AI341" s="1103">
        <v>46103</v>
      </c>
      <c r="AJ341" s="1103">
        <v>46112</v>
      </c>
      <c r="AK341" s="1103">
        <v>46112</v>
      </c>
      <c r="AL341" s="1103">
        <v>46140</v>
      </c>
      <c r="AM341" s="1103">
        <v>46154</v>
      </c>
      <c r="AN341" s="1103">
        <v>46157</v>
      </c>
      <c r="AO341" s="1102" t="s">
        <v>402</v>
      </c>
      <c r="AP341" s="1102" t="s">
        <v>925</v>
      </c>
      <c r="AQ341" s="1102" t="s">
        <v>80</v>
      </c>
      <c r="AR341" s="1102" t="s">
        <v>1699</v>
      </c>
      <c r="AS341" s="1102" t="s">
        <v>1700</v>
      </c>
      <c r="AT341" s="1102" t="s">
        <v>1700</v>
      </c>
      <c r="AU341" s="1102">
        <v>45</v>
      </c>
      <c r="AW341" s="1103">
        <v>46157</v>
      </c>
      <c r="AX341" s="1102" t="s">
        <v>973</v>
      </c>
      <c r="AY341" s="1103">
        <v>46170</v>
      </c>
      <c r="AZ341" s="1102">
        <v>7</v>
      </c>
      <c r="BA341" s="1103">
        <v>46164</v>
      </c>
      <c r="BB341" s="1102">
        <v>2026</v>
      </c>
      <c r="BC341" s="1102">
        <v>5</v>
      </c>
      <c r="BD341" s="1102">
        <v>21</v>
      </c>
      <c r="BE341" s="1102">
        <v>36</v>
      </c>
      <c r="BF341" s="1102">
        <v>720</v>
      </c>
      <c r="BG341" s="1102" t="s">
        <v>128</v>
      </c>
      <c r="BH341" s="1102" t="s">
        <v>109</v>
      </c>
    </row>
    <row r="342" spans="1:60">
      <c r="A342" s="1102" t="s">
        <v>1701</v>
      </c>
      <c r="B342" s="1102" t="s">
        <v>111</v>
      </c>
      <c r="C342" s="1102" t="s">
        <v>1061</v>
      </c>
      <c r="D342" s="1102" t="s">
        <v>63</v>
      </c>
      <c r="E342" s="1102" t="s">
        <v>64</v>
      </c>
      <c r="F342" s="1102" t="s">
        <v>100</v>
      </c>
      <c r="G342" s="1102" t="s">
        <v>402</v>
      </c>
      <c r="H342" s="1102" t="s">
        <v>67</v>
      </c>
      <c r="I342" s="1102" t="s">
        <v>689</v>
      </c>
      <c r="J342" s="1102" t="s">
        <v>1702</v>
      </c>
      <c r="M342" s="1102" t="s">
        <v>68</v>
      </c>
      <c r="N342" s="1102">
        <v>46076</v>
      </c>
      <c r="O342" s="1102" t="s">
        <v>132</v>
      </c>
      <c r="P342" s="1102" t="s">
        <v>1062</v>
      </c>
      <c r="Q342" s="1102" t="s">
        <v>1063</v>
      </c>
      <c r="R342" s="1102" t="s">
        <v>73</v>
      </c>
      <c r="S342" s="1102" t="s">
        <v>967</v>
      </c>
      <c r="T342" s="1102">
        <v>470</v>
      </c>
      <c r="U342" s="1102">
        <v>1728</v>
      </c>
      <c r="V342" s="1102">
        <v>0.81215999999999999</v>
      </c>
      <c r="W342" s="1102">
        <v>48</v>
      </c>
      <c r="X342" s="1102">
        <v>2</v>
      </c>
      <c r="Y342" s="1102" t="s">
        <v>75</v>
      </c>
      <c r="Z342" s="1102" t="s">
        <v>75</v>
      </c>
      <c r="AB342" s="1103">
        <v>46098</v>
      </c>
      <c r="AC342" s="1102">
        <v>12</v>
      </c>
      <c r="AD342" s="1102" t="s">
        <v>1703</v>
      </c>
      <c r="AF342" s="1102" t="s">
        <v>1643</v>
      </c>
      <c r="AG342" s="1102" t="s">
        <v>123</v>
      </c>
      <c r="AH342" s="1102" t="s">
        <v>105</v>
      </c>
      <c r="AI342" s="1103">
        <v>46103</v>
      </c>
      <c r="AJ342" s="1103">
        <v>46112</v>
      </c>
      <c r="AK342" s="1103">
        <v>46112</v>
      </c>
      <c r="AL342" s="1103">
        <v>46140</v>
      </c>
      <c r="AM342" s="1103">
        <v>46154</v>
      </c>
      <c r="AN342" s="1103">
        <v>46157</v>
      </c>
      <c r="AO342" s="1102" t="s">
        <v>402</v>
      </c>
      <c r="AP342" s="1102" t="s">
        <v>925</v>
      </c>
      <c r="AQ342" s="1102" t="s">
        <v>80</v>
      </c>
      <c r="AR342" s="1102" t="s">
        <v>1699</v>
      </c>
      <c r="AS342" s="1102" t="s">
        <v>1700</v>
      </c>
      <c r="AT342" s="1102" t="s">
        <v>1700</v>
      </c>
      <c r="AU342" s="1102">
        <v>45</v>
      </c>
      <c r="AW342" s="1103">
        <v>46157</v>
      </c>
      <c r="AX342" s="1102" t="s">
        <v>973</v>
      </c>
      <c r="AY342" s="1103">
        <v>46170</v>
      </c>
      <c r="AZ342" s="1102">
        <v>7</v>
      </c>
      <c r="BA342" s="1103">
        <v>46164</v>
      </c>
      <c r="BB342" s="1102">
        <v>2026</v>
      </c>
      <c r="BC342" s="1102">
        <v>5</v>
      </c>
      <c r="BD342" s="1102">
        <v>21</v>
      </c>
      <c r="BE342" s="1102">
        <v>36</v>
      </c>
      <c r="BF342" s="1102">
        <v>864</v>
      </c>
      <c r="BG342" s="1102" t="s">
        <v>108</v>
      </c>
      <c r="BH342" s="1102" t="s">
        <v>109</v>
      </c>
    </row>
    <row r="343" spans="1:60">
      <c r="A343" s="1102" t="s">
        <v>1704</v>
      </c>
      <c r="B343" s="1102" t="s">
        <v>111</v>
      </c>
      <c r="C343" s="1102" t="s">
        <v>1318</v>
      </c>
      <c r="D343" s="1102" t="s">
        <v>63</v>
      </c>
      <c r="E343" s="1102" t="s">
        <v>64</v>
      </c>
      <c r="F343" s="1102" t="s">
        <v>100</v>
      </c>
      <c r="G343" s="1102" t="s">
        <v>402</v>
      </c>
      <c r="H343" s="1102" t="s">
        <v>67</v>
      </c>
      <c r="I343" s="1102" t="s">
        <v>689</v>
      </c>
      <c r="J343" s="1102" t="s">
        <v>483</v>
      </c>
      <c r="M343" s="1102" t="s">
        <v>68</v>
      </c>
      <c r="N343" s="1102">
        <v>46083</v>
      </c>
      <c r="O343" s="1102" t="s">
        <v>473</v>
      </c>
      <c r="P343" s="1102" t="s">
        <v>474</v>
      </c>
      <c r="Q343" s="1102" t="s">
        <v>1319</v>
      </c>
      <c r="R343" s="1102" t="s">
        <v>73</v>
      </c>
      <c r="S343" s="1102" t="s">
        <v>967</v>
      </c>
      <c r="T343" s="1102">
        <v>460</v>
      </c>
      <c r="U343" s="1102">
        <v>3456</v>
      </c>
      <c r="V343" s="1102">
        <v>1.5897600000000001</v>
      </c>
      <c r="W343" s="1102">
        <v>96</v>
      </c>
      <c r="X343" s="1102">
        <v>4</v>
      </c>
      <c r="Y343" s="1102" t="s">
        <v>75</v>
      </c>
      <c r="Z343" s="1102" t="s">
        <v>75</v>
      </c>
      <c r="AB343" s="1103">
        <v>46098</v>
      </c>
      <c r="AC343" s="1102">
        <v>12</v>
      </c>
      <c r="AD343" s="1102" t="s">
        <v>1705</v>
      </c>
      <c r="AF343" s="1102" t="s">
        <v>1643</v>
      </c>
      <c r="AG343" s="1102" t="s">
        <v>123</v>
      </c>
      <c r="AH343" s="1102" t="s">
        <v>105</v>
      </c>
      <c r="AI343" s="1103">
        <v>46103</v>
      </c>
      <c r="AJ343" s="1103">
        <v>46112</v>
      </c>
      <c r="AK343" s="1103">
        <v>46112</v>
      </c>
      <c r="AL343" s="1103">
        <v>46140</v>
      </c>
      <c r="AM343" s="1103">
        <v>46154</v>
      </c>
      <c r="AN343" s="1103">
        <v>46157</v>
      </c>
      <c r="AO343" s="1102" t="s">
        <v>402</v>
      </c>
      <c r="AP343" s="1102" t="s">
        <v>925</v>
      </c>
      <c r="AQ343" s="1102" t="s">
        <v>80</v>
      </c>
      <c r="AR343" s="1102" t="s">
        <v>1699</v>
      </c>
      <c r="AS343" s="1102" t="s">
        <v>1700</v>
      </c>
      <c r="AT343" s="1102" t="s">
        <v>1700</v>
      </c>
      <c r="AU343" s="1102">
        <v>45</v>
      </c>
      <c r="AW343" s="1103">
        <v>46157</v>
      </c>
      <c r="AX343" s="1102" t="s">
        <v>973</v>
      </c>
      <c r="AY343" s="1103">
        <v>46170</v>
      </c>
      <c r="AZ343" s="1102">
        <v>7</v>
      </c>
      <c r="BA343" s="1103">
        <v>46164</v>
      </c>
      <c r="BB343" s="1102">
        <v>2026</v>
      </c>
      <c r="BC343" s="1102">
        <v>5</v>
      </c>
      <c r="BD343" s="1102">
        <v>21</v>
      </c>
      <c r="BE343" s="1102">
        <v>36</v>
      </c>
      <c r="BF343" s="1102">
        <v>864</v>
      </c>
      <c r="BG343" s="1102" t="s">
        <v>85</v>
      </c>
      <c r="BH343" s="1102" t="s">
        <v>109</v>
      </c>
    </row>
    <row r="344" spans="1:60">
      <c r="A344" s="1102" t="s">
        <v>1706</v>
      </c>
      <c r="B344" s="1102" t="s">
        <v>111</v>
      </c>
      <c r="C344" s="1102" t="s">
        <v>1046</v>
      </c>
      <c r="D344" s="1102" t="s">
        <v>63</v>
      </c>
      <c r="E344" s="1102" t="s">
        <v>64</v>
      </c>
      <c r="F344" s="1102" t="s">
        <v>100</v>
      </c>
      <c r="G344" s="1102" t="s">
        <v>402</v>
      </c>
      <c r="H344" s="1102" t="s">
        <v>67</v>
      </c>
      <c r="I344" s="1102" t="s">
        <v>689</v>
      </c>
      <c r="J344" s="1102" t="s">
        <v>1707</v>
      </c>
      <c r="M344" s="1102" t="s">
        <v>68</v>
      </c>
      <c r="N344" s="1102">
        <v>46097</v>
      </c>
      <c r="O344" s="1102" t="s">
        <v>70</v>
      </c>
      <c r="P344" s="1102" t="s">
        <v>1002</v>
      </c>
      <c r="Q344" s="1102" t="s">
        <v>330</v>
      </c>
      <c r="R344" s="1102" t="s">
        <v>73</v>
      </c>
      <c r="S344" s="1102" t="s">
        <v>992</v>
      </c>
      <c r="T344" s="1102">
        <v>625</v>
      </c>
      <c r="U344" s="1102">
        <v>5040</v>
      </c>
      <c r="V344" s="1102">
        <v>3.15</v>
      </c>
      <c r="W344" s="1102">
        <v>140</v>
      </c>
      <c r="X344" s="1102">
        <v>7</v>
      </c>
      <c r="Y344" s="1102" t="s">
        <v>75</v>
      </c>
      <c r="Z344" s="1102" t="s">
        <v>75</v>
      </c>
      <c r="AA344" s="1102" t="s">
        <v>1504</v>
      </c>
      <c r="AB344" s="1103">
        <v>46098</v>
      </c>
      <c r="AC344" s="1102">
        <v>12</v>
      </c>
      <c r="AD344" s="1102" t="s">
        <v>1708</v>
      </c>
      <c r="AF344" s="1102" t="s">
        <v>1643</v>
      </c>
      <c r="AG344" s="1102" t="s">
        <v>123</v>
      </c>
      <c r="AH344" s="1102" t="s">
        <v>105</v>
      </c>
      <c r="AI344" s="1103">
        <v>46103</v>
      </c>
      <c r="AJ344" s="1103">
        <v>46112</v>
      </c>
      <c r="AK344" s="1103">
        <v>46112</v>
      </c>
      <c r="AL344" s="1103">
        <v>46140</v>
      </c>
      <c r="AM344" s="1103">
        <v>46154</v>
      </c>
      <c r="AN344" s="1103">
        <v>46157</v>
      </c>
      <c r="AO344" s="1102" t="s">
        <v>402</v>
      </c>
      <c r="AP344" s="1102" t="s">
        <v>925</v>
      </c>
      <c r="AQ344" s="1102" t="s">
        <v>80</v>
      </c>
      <c r="AR344" s="1102" t="s">
        <v>1699</v>
      </c>
      <c r="AS344" s="1102" t="s">
        <v>1700</v>
      </c>
      <c r="AT344" s="1102" t="s">
        <v>1700</v>
      </c>
      <c r="AU344" s="1102">
        <v>45</v>
      </c>
      <c r="AW344" s="1103">
        <v>46157</v>
      </c>
      <c r="AX344" s="1102" t="s">
        <v>973</v>
      </c>
      <c r="AY344" s="1103">
        <v>46168</v>
      </c>
      <c r="AZ344" s="1102">
        <v>7</v>
      </c>
      <c r="BA344" s="1103">
        <v>46164</v>
      </c>
      <c r="BB344" s="1102">
        <v>2026</v>
      </c>
      <c r="BC344" s="1102">
        <v>5</v>
      </c>
      <c r="BD344" s="1102">
        <v>21</v>
      </c>
      <c r="BE344" s="1102">
        <v>36</v>
      </c>
      <c r="BF344" s="1102">
        <v>720</v>
      </c>
      <c r="BG344" s="1102" t="s">
        <v>128</v>
      </c>
      <c r="BH344" s="1102" t="s">
        <v>109</v>
      </c>
    </row>
    <row r="345" spans="1:60">
      <c r="A345" s="1102" t="s">
        <v>1709</v>
      </c>
      <c r="B345" s="1102" t="s">
        <v>111</v>
      </c>
      <c r="C345" s="1102" t="s">
        <v>1310</v>
      </c>
      <c r="D345" s="1102" t="s">
        <v>63</v>
      </c>
      <c r="E345" s="1102" t="s">
        <v>64</v>
      </c>
      <c r="F345" s="1102" t="s">
        <v>100</v>
      </c>
      <c r="G345" s="1102" t="s">
        <v>402</v>
      </c>
      <c r="H345" s="1102" t="s">
        <v>67</v>
      </c>
      <c r="I345" s="1102" t="s">
        <v>689</v>
      </c>
      <c r="J345" s="1102" t="s">
        <v>483</v>
      </c>
      <c r="M345" s="1102" t="s">
        <v>68</v>
      </c>
      <c r="N345" s="1102">
        <v>46083</v>
      </c>
      <c r="O345" s="1102" t="s">
        <v>473</v>
      </c>
      <c r="P345" s="1102" t="s">
        <v>529</v>
      </c>
      <c r="Q345" s="1102" t="s">
        <v>1311</v>
      </c>
      <c r="R345" s="1102" t="s">
        <v>73</v>
      </c>
      <c r="S345" s="1102" t="s">
        <v>967</v>
      </c>
      <c r="T345" s="1102">
        <v>455</v>
      </c>
      <c r="U345" s="1102">
        <v>1728</v>
      </c>
      <c r="V345" s="1102">
        <v>0.78624000000000005</v>
      </c>
      <c r="W345" s="1102">
        <v>48</v>
      </c>
      <c r="X345" s="1102">
        <v>2</v>
      </c>
      <c r="Y345" s="1102" t="s">
        <v>75</v>
      </c>
      <c r="Z345" s="1102" t="s">
        <v>75</v>
      </c>
      <c r="AA345" s="1102" t="s">
        <v>1548</v>
      </c>
      <c r="AB345" s="1103">
        <v>46098</v>
      </c>
      <c r="AC345" s="1102">
        <v>12</v>
      </c>
      <c r="AD345" s="1102" t="s">
        <v>1710</v>
      </c>
      <c r="AF345" s="1102" t="s">
        <v>1643</v>
      </c>
      <c r="AG345" s="1102" t="s">
        <v>123</v>
      </c>
      <c r="AH345" s="1102" t="s">
        <v>105</v>
      </c>
      <c r="AI345" s="1103">
        <v>46103</v>
      </c>
      <c r="AJ345" s="1103">
        <v>46112</v>
      </c>
      <c r="AK345" s="1103">
        <v>46112</v>
      </c>
      <c r="AL345" s="1103">
        <v>46140</v>
      </c>
      <c r="AM345" s="1103">
        <v>46154</v>
      </c>
      <c r="AN345" s="1103">
        <v>46157</v>
      </c>
      <c r="AO345" s="1102" t="s">
        <v>402</v>
      </c>
      <c r="AP345" s="1102" t="s">
        <v>925</v>
      </c>
      <c r="AQ345" s="1102" t="s">
        <v>80</v>
      </c>
      <c r="AR345" s="1102" t="s">
        <v>1711</v>
      </c>
      <c r="AS345" s="1102" t="s">
        <v>1712</v>
      </c>
      <c r="AT345" s="1102" t="s">
        <v>1712</v>
      </c>
      <c r="AU345" s="1102">
        <v>45</v>
      </c>
      <c r="AW345" s="1103">
        <v>46157</v>
      </c>
      <c r="AX345" s="1102" t="s">
        <v>973</v>
      </c>
      <c r="AY345" s="1103">
        <v>46170</v>
      </c>
      <c r="AZ345" s="1102">
        <v>7</v>
      </c>
      <c r="BA345" s="1103">
        <v>46164</v>
      </c>
      <c r="BB345" s="1102">
        <v>2026</v>
      </c>
      <c r="BC345" s="1102">
        <v>5</v>
      </c>
      <c r="BD345" s="1102">
        <v>21</v>
      </c>
      <c r="BE345" s="1102">
        <v>36</v>
      </c>
      <c r="BF345" s="1102">
        <v>864</v>
      </c>
      <c r="BG345" s="1102" t="s">
        <v>85</v>
      </c>
      <c r="BH345" s="1102" t="s">
        <v>109</v>
      </c>
    </row>
    <row r="346" spans="1:60">
      <c r="A346" s="1102" t="s">
        <v>1713</v>
      </c>
      <c r="B346" s="1102" t="s">
        <v>111</v>
      </c>
      <c r="C346" s="1102" t="s">
        <v>1318</v>
      </c>
      <c r="D346" s="1102" t="s">
        <v>63</v>
      </c>
      <c r="E346" s="1102" t="s">
        <v>64</v>
      </c>
      <c r="F346" s="1102" t="s">
        <v>100</v>
      </c>
      <c r="G346" s="1102" t="s">
        <v>402</v>
      </c>
      <c r="H346" s="1102" t="s">
        <v>67</v>
      </c>
      <c r="I346" s="1102" t="s">
        <v>689</v>
      </c>
      <c r="J346" s="1102" t="s">
        <v>483</v>
      </c>
      <c r="M346" s="1102" t="s">
        <v>68</v>
      </c>
      <c r="N346" s="1102">
        <v>46083</v>
      </c>
      <c r="O346" s="1102" t="s">
        <v>473</v>
      </c>
      <c r="P346" s="1102" t="s">
        <v>474</v>
      </c>
      <c r="Q346" s="1102" t="s">
        <v>1319</v>
      </c>
      <c r="R346" s="1102" t="s">
        <v>73</v>
      </c>
      <c r="S346" s="1102" t="s">
        <v>967</v>
      </c>
      <c r="T346" s="1102">
        <v>460</v>
      </c>
      <c r="U346" s="1102">
        <v>2592</v>
      </c>
      <c r="V346" s="1102">
        <v>1.19232</v>
      </c>
      <c r="W346" s="1102">
        <v>72</v>
      </c>
      <c r="X346" s="1102">
        <v>3</v>
      </c>
      <c r="Y346" s="1102" t="s">
        <v>75</v>
      </c>
      <c r="Z346" s="1102" t="s">
        <v>75</v>
      </c>
      <c r="AB346" s="1103">
        <v>46098</v>
      </c>
      <c r="AC346" s="1102">
        <v>12</v>
      </c>
      <c r="AD346" s="1102" t="s">
        <v>1714</v>
      </c>
      <c r="AF346" s="1102" t="s">
        <v>1643</v>
      </c>
      <c r="AG346" s="1102" t="s">
        <v>123</v>
      </c>
      <c r="AH346" s="1102" t="s">
        <v>105</v>
      </c>
      <c r="AI346" s="1103">
        <v>46103</v>
      </c>
      <c r="AJ346" s="1103">
        <v>46112</v>
      </c>
      <c r="AK346" s="1103">
        <v>46112</v>
      </c>
      <c r="AL346" s="1103">
        <v>46140</v>
      </c>
      <c r="AM346" s="1103">
        <v>46154</v>
      </c>
      <c r="AN346" s="1103">
        <v>46157</v>
      </c>
      <c r="AO346" s="1102" t="s">
        <v>402</v>
      </c>
      <c r="AP346" s="1102" t="s">
        <v>925</v>
      </c>
      <c r="AQ346" s="1102" t="s">
        <v>80</v>
      </c>
      <c r="AR346" s="1102" t="s">
        <v>1711</v>
      </c>
      <c r="AS346" s="1102" t="s">
        <v>1712</v>
      </c>
      <c r="AT346" s="1102" t="s">
        <v>1712</v>
      </c>
      <c r="AU346" s="1102">
        <v>45</v>
      </c>
      <c r="AW346" s="1103">
        <v>46157</v>
      </c>
      <c r="AX346" s="1102" t="s">
        <v>973</v>
      </c>
      <c r="AY346" s="1103">
        <v>46170</v>
      </c>
      <c r="AZ346" s="1102">
        <v>7</v>
      </c>
      <c r="BA346" s="1103">
        <v>46164</v>
      </c>
      <c r="BB346" s="1102">
        <v>2026</v>
      </c>
      <c r="BC346" s="1102">
        <v>5</v>
      </c>
      <c r="BD346" s="1102">
        <v>21</v>
      </c>
      <c r="BE346" s="1102">
        <v>36</v>
      </c>
      <c r="BF346" s="1102">
        <v>864</v>
      </c>
      <c r="BG346" s="1102" t="s">
        <v>85</v>
      </c>
      <c r="BH346" s="1102" t="s">
        <v>109</v>
      </c>
    </row>
    <row r="347" spans="1:60">
      <c r="A347" s="1102" t="s">
        <v>1715</v>
      </c>
      <c r="B347" s="1102" t="s">
        <v>111</v>
      </c>
      <c r="C347" s="1102" t="s">
        <v>1310</v>
      </c>
      <c r="D347" s="1102" t="s">
        <v>63</v>
      </c>
      <c r="E347" s="1102" t="s">
        <v>64</v>
      </c>
      <c r="F347" s="1102" t="s">
        <v>100</v>
      </c>
      <c r="G347" s="1102" t="s">
        <v>402</v>
      </c>
      <c r="H347" s="1102" t="s">
        <v>67</v>
      </c>
      <c r="I347" s="1102" t="s">
        <v>689</v>
      </c>
      <c r="J347" s="1102" t="s">
        <v>483</v>
      </c>
      <c r="M347" s="1102" t="s">
        <v>68</v>
      </c>
      <c r="N347" s="1102">
        <v>46083</v>
      </c>
      <c r="O347" s="1102" t="s">
        <v>473</v>
      </c>
      <c r="P347" s="1102" t="s">
        <v>529</v>
      </c>
      <c r="Q347" s="1102" t="s">
        <v>1311</v>
      </c>
      <c r="R347" s="1102" t="s">
        <v>73</v>
      </c>
      <c r="S347" s="1102" t="s">
        <v>967</v>
      </c>
      <c r="T347" s="1102">
        <v>455</v>
      </c>
      <c r="U347" s="1102">
        <v>1728</v>
      </c>
      <c r="V347" s="1102">
        <v>0.78624000000000005</v>
      </c>
      <c r="W347" s="1102">
        <v>48</v>
      </c>
      <c r="X347" s="1102">
        <v>2</v>
      </c>
      <c r="Y347" s="1102" t="s">
        <v>75</v>
      </c>
      <c r="Z347" s="1102" t="s">
        <v>75</v>
      </c>
      <c r="AB347" s="1103">
        <v>46099</v>
      </c>
      <c r="AC347" s="1102">
        <v>12</v>
      </c>
      <c r="AD347" s="1102" t="s">
        <v>1716</v>
      </c>
      <c r="AF347" s="1102" t="s">
        <v>1643</v>
      </c>
      <c r="AG347" s="1102" t="s">
        <v>123</v>
      </c>
      <c r="AH347" s="1102" t="s">
        <v>105</v>
      </c>
      <c r="AI347" s="1103">
        <v>46103</v>
      </c>
      <c r="AJ347" s="1103">
        <v>46112</v>
      </c>
      <c r="AK347" s="1103">
        <v>46112</v>
      </c>
      <c r="AL347" s="1103">
        <v>46140</v>
      </c>
      <c r="AM347" s="1103">
        <v>46154</v>
      </c>
      <c r="AN347" s="1103">
        <v>46157</v>
      </c>
      <c r="AO347" s="1102" t="s">
        <v>402</v>
      </c>
      <c r="AP347" s="1102" t="s">
        <v>925</v>
      </c>
      <c r="AQ347" s="1102" t="s">
        <v>80</v>
      </c>
      <c r="AR347" s="1102" t="s">
        <v>1711</v>
      </c>
      <c r="AS347" s="1102" t="s">
        <v>1712</v>
      </c>
      <c r="AT347" s="1102" t="s">
        <v>1712</v>
      </c>
      <c r="AU347" s="1102">
        <v>45</v>
      </c>
      <c r="AW347" s="1103">
        <v>46157</v>
      </c>
      <c r="AX347" s="1102" t="s">
        <v>973</v>
      </c>
      <c r="AY347" s="1103">
        <v>46170</v>
      </c>
      <c r="AZ347" s="1102">
        <v>7</v>
      </c>
      <c r="BA347" s="1103">
        <v>46164</v>
      </c>
      <c r="BB347" s="1102">
        <v>2026</v>
      </c>
      <c r="BC347" s="1102">
        <v>5</v>
      </c>
      <c r="BD347" s="1102">
        <v>21</v>
      </c>
      <c r="BE347" s="1102">
        <v>36</v>
      </c>
      <c r="BF347" s="1102">
        <v>864</v>
      </c>
      <c r="BG347" s="1102" t="s">
        <v>85</v>
      </c>
      <c r="BH347" s="1102" t="s">
        <v>109</v>
      </c>
    </row>
    <row r="348" spans="1:60">
      <c r="A348" s="1102" t="s">
        <v>1717</v>
      </c>
      <c r="B348" s="1102" t="s">
        <v>111</v>
      </c>
      <c r="C348" s="1102" t="s">
        <v>1091</v>
      </c>
      <c r="D348" s="1102" t="s">
        <v>63</v>
      </c>
      <c r="E348" s="1102" t="s">
        <v>64</v>
      </c>
      <c r="F348" s="1102" t="s">
        <v>100</v>
      </c>
      <c r="G348" s="1102" t="s">
        <v>402</v>
      </c>
      <c r="H348" s="1102" t="s">
        <v>67</v>
      </c>
      <c r="I348" s="1102" t="s">
        <v>689</v>
      </c>
      <c r="J348" s="1102" t="s">
        <v>101</v>
      </c>
      <c r="M348" s="1102" t="s">
        <v>68</v>
      </c>
      <c r="N348" s="1102">
        <v>46069</v>
      </c>
      <c r="O348" s="1102" t="s">
        <v>132</v>
      </c>
      <c r="P348" s="1102" t="s">
        <v>189</v>
      </c>
      <c r="Q348" s="1102" t="s">
        <v>190</v>
      </c>
      <c r="R348" s="1102" t="s">
        <v>73</v>
      </c>
      <c r="S348" s="1102" t="s">
        <v>967</v>
      </c>
      <c r="T348" s="1102">
        <v>465</v>
      </c>
      <c r="U348" s="1102">
        <v>2592</v>
      </c>
      <c r="V348" s="1102">
        <v>1.2052799999999999</v>
      </c>
      <c r="W348" s="1102">
        <v>72</v>
      </c>
      <c r="X348" s="1102">
        <v>3</v>
      </c>
      <c r="Y348" s="1102" t="s">
        <v>75</v>
      </c>
      <c r="Z348" s="1102" t="s">
        <v>75</v>
      </c>
      <c r="AA348" s="1102" t="s">
        <v>1548</v>
      </c>
      <c r="AB348" s="1103">
        <v>46099</v>
      </c>
      <c r="AC348" s="1102">
        <v>12</v>
      </c>
      <c r="AD348" s="1102" t="s">
        <v>1718</v>
      </c>
      <c r="AF348" s="1102" t="s">
        <v>1643</v>
      </c>
      <c r="AG348" s="1102" t="s">
        <v>123</v>
      </c>
      <c r="AH348" s="1102" t="s">
        <v>105</v>
      </c>
      <c r="AI348" s="1103">
        <v>46103</v>
      </c>
      <c r="AJ348" s="1103">
        <v>46112</v>
      </c>
      <c r="AK348" s="1103">
        <v>46112</v>
      </c>
      <c r="AL348" s="1103">
        <v>46140</v>
      </c>
      <c r="AM348" s="1103">
        <v>46154</v>
      </c>
      <c r="AN348" s="1103">
        <v>46157</v>
      </c>
      <c r="AO348" s="1102" t="s">
        <v>402</v>
      </c>
      <c r="AP348" s="1102" t="s">
        <v>925</v>
      </c>
      <c r="AQ348" s="1102" t="s">
        <v>80</v>
      </c>
      <c r="AR348" s="1102" t="s">
        <v>1711</v>
      </c>
      <c r="AS348" s="1102" t="s">
        <v>1712</v>
      </c>
      <c r="AT348" s="1102" t="s">
        <v>1712</v>
      </c>
      <c r="AU348" s="1102">
        <v>45</v>
      </c>
      <c r="AW348" s="1103">
        <v>46157</v>
      </c>
      <c r="AX348" s="1102" t="s">
        <v>973</v>
      </c>
      <c r="AY348" s="1103">
        <v>46170</v>
      </c>
      <c r="AZ348" s="1102">
        <v>7</v>
      </c>
      <c r="BA348" s="1103">
        <v>46164</v>
      </c>
      <c r="BB348" s="1102">
        <v>2026</v>
      </c>
      <c r="BC348" s="1102">
        <v>5</v>
      </c>
      <c r="BD348" s="1102">
        <v>21</v>
      </c>
      <c r="BE348" s="1102">
        <v>36</v>
      </c>
      <c r="BF348" s="1102">
        <v>864</v>
      </c>
      <c r="BG348" s="1102" t="s">
        <v>108</v>
      </c>
      <c r="BH348" s="1102" t="s">
        <v>109</v>
      </c>
    </row>
    <row r="349" spans="1:60">
      <c r="A349" s="1102" t="s">
        <v>1719</v>
      </c>
      <c r="B349" s="1102" t="s">
        <v>111</v>
      </c>
      <c r="C349" s="1102" t="s">
        <v>1310</v>
      </c>
      <c r="D349" s="1102" t="s">
        <v>63</v>
      </c>
      <c r="E349" s="1102" t="s">
        <v>64</v>
      </c>
      <c r="F349" s="1102" t="s">
        <v>100</v>
      </c>
      <c r="G349" s="1102" t="s">
        <v>402</v>
      </c>
      <c r="H349" s="1102" t="s">
        <v>67</v>
      </c>
      <c r="I349" s="1102" t="s">
        <v>689</v>
      </c>
      <c r="J349" s="1102" t="s">
        <v>96</v>
      </c>
      <c r="M349" s="1102" t="s">
        <v>68</v>
      </c>
      <c r="N349" s="1102">
        <v>46083</v>
      </c>
      <c r="O349" s="1102" t="s">
        <v>473</v>
      </c>
      <c r="P349" s="1102" t="s">
        <v>529</v>
      </c>
      <c r="Q349" s="1102" t="s">
        <v>1311</v>
      </c>
      <c r="R349" s="1102" t="s">
        <v>73</v>
      </c>
      <c r="S349" s="1102" t="s">
        <v>967</v>
      </c>
      <c r="T349" s="1102">
        <v>455</v>
      </c>
      <c r="U349" s="1102">
        <v>4320</v>
      </c>
      <c r="V349" s="1102">
        <v>1.9656</v>
      </c>
      <c r="W349" s="1102">
        <v>120</v>
      </c>
      <c r="X349" s="1102">
        <v>5</v>
      </c>
      <c r="Y349" s="1102" t="s">
        <v>75</v>
      </c>
      <c r="Z349" s="1102" t="s">
        <v>75</v>
      </c>
      <c r="AB349" s="1103">
        <v>46099</v>
      </c>
      <c r="AC349" s="1102">
        <v>12</v>
      </c>
      <c r="AD349" s="1102" t="s">
        <v>1716</v>
      </c>
      <c r="AF349" s="1102" t="s">
        <v>1643</v>
      </c>
      <c r="AG349" s="1102" t="s">
        <v>123</v>
      </c>
      <c r="AH349" s="1102" t="s">
        <v>105</v>
      </c>
      <c r="AI349" s="1103">
        <v>46103</v>
      </c>
      <c r="AJ349" s="1103">
        <v>46110</v>
      </c>
      <c r="AK349" s="1103">
        <v>46110</v>
      </c>
      <c r="AL349" s="1103">
        <v>46140</v>
      </c>
      <c r="AM349" s="1103">
        <v>46169</v>
      </c>
      <c r="AN349" s="1103">
        <v>46170</v>
      </c>
      <c r="AO349" s="1102" t="s">
        <v>402</v>
      </c>
      <c r="AP349" s="1102" t="s">
        <v>1720</v>
      </c>
      <c r="AQ349" s="1102" t="s">
        <v>80</v>
      </c>
      <c r="AR349" s="1102" t="s">
        <v>1721</v>
      </c>
      <c r="AS349" s="1102" t="s">
        <v>1722</v>
      </c>
      <c r="AT349" s="1102" t="s">
        <v>1722</v>
      </c>
      <c r="AU349" s="1102">
        <v>60</v>
      </c>
      <c r="AW349" s="1103">
        <v>46170</v>
      </c>
      <c r="AX349" s="1102" t="s">
        <v>973</v>
      </c>
      <c r="AY349" s="1103">
        <v>46170</v>
      </c>
      <c r="AZ349" s="1102">
        <v>7</v>
      </c>
      <c r="BA349" s="1103">
        <v>46177</v>
      </c>
      <c r="BB349" s="1102">
        <v>2026</v>
      </c>
      <c r="BC349" s="1102">
        <v>6</v>
      </c>
      <c r="BD349" s="1102">
        <v>23</v>
      </c>
      <c r="BE349" s="1102">
        <v>36</v>
      </c>
      <c r="BF349" s="1102">
        <v>864</v>
      </c>
      <c r="BG349" s="1102" t="s">
        <v>85</v>
      </c>
      <c r="BH349" s="1102" t="s">
        <v>109</v>
      </c>
    </row>
    <row r="350" spans="1:60">
      <c r="A350" s="1102" t="s">
        <v>1723</v>
      </c>
      <c r="B350" s="1102" t="s">
        <v>111</v>
      </c>
      <c r="C350" s="1102" t="s">
        <v>1318</v>
      </c>
      <c r="D350" s="1102" t="s">
        <v>63</v>
      </c>
      <c r="E350" s="1102" t="s">
        <v>64</v>
      </c>
      <c r="F350" s="1102" t="s">
        <v>310</v>
      </c>
      <c r="G350" s="1102" t="s">
        <v>402</v>
      </c>
      <c r="H350" s="1102" t="s">
        <v>311</v>
      </c>
      <c r="I350" s="1102" t="s">
        <v>689</v>
      </c>
      <c r="J350" s="1102" t="s">
        <v>1342</v>
      </c>
      <c r="M350" s="1102" t="s">
        <v>68</v>
      </c>
      <c r="N350" s="1102">
        <v>46083</v>
      </c>
      <c r="O350" s="1102" t="s">
        <v>473</v>
      </c>
      <c r="P350" s="1102" t="s">
        <v>474</v>
      </c>
      <c r="Q350" s="1102" t="s">
        <v>1319</v>
      </c>
      <c r="R350" s="1102" t="s">
        <v>73</v>
      </c>
      <c r="S350" s="1102" t="s">
        <v>967</v>
      </c>
      <c r="T350" s="1102">
        <v>460</v>
      </c>
      <c r="U350" s="1102">
        <v>2592</v>
      </c>
      <c r="V350" s="1102">
        <v>1.19232</v>
      </c>
      <c r="W350" s="1102">
        <v>72</v>
      </c>
      <c r="X350" s="1102">
        <v>3</v>
      </c>
      <c r="Y350" s="1102" t="s">
        <v>75</v>
      </c>
      <c r="Z350" s="1102" t="s">
        <v>75</v>
      </c>
      <c r="AB350" s="1103">
        <v>46104</v>
      </c>
      <c r="AC350" s="1102">
        <v>13</v>
      </c>
      <c r="AD350" s="1102" t="s">
        <v>1724</v>
      </c>
      <c r="AF350" s="1102" t="s">
        <v>1643</v>
      </c>
      <c r="AG350" s="1102" t="s">
        <v>123</v>
      </c>
      <c r="AH350" s="1102" t="s">
        <v>314</v>
      </c>
      <c r="AI350" s="1103">
        <v>46111</v>
      </c>
      <c r="AJ350" s="1103">
        <v>46114</v>
      </c>
      <c r="AK350" s="1103">
        <v>46114</v>
      </c>
      <c r="AL350" s="1103">
        <v>46155</v>
      </c>
      <c r="AM350" s="1103">
        <v>46162</v>
      </c>
      <c r="AN350" s="1103">
        <v>46162</v>
      </c>
      <c r="AO350" s="1102" t="s">
        <v>402</v>
      </c>
      <c r="AP350" s="1102" t="s">
        <v>1725</v>
      </c>
      <c r="AQ350" s="1102" t="s">
        <v>80</v>
      </c>
      <c r="AR350" s="1102" t="s">
        <v>1726</v>
      </c>
      <c r="AS350" s="1102" t="s">
        <v>1727</v>
      </c>
      <c r="AT350" s="1102" t="s">
        <v>1727</v>
      </c>
      <c r="AU350" s="1102">
        <v>48</v>
      </c>
      <c r="AW350" s="1103">
        <v>46162</v>
      </c>
      <c r="AX350" s="1102" t="s">
        <v>973</v>
      </c>
      <c r="AY350" s="1103">
        <v>46175</v>
      </c>
      <c r="AZ350" s="1102">
        <v>13</v>
      </c>
      <c r="BA350" s="1103">
        <v>46175</v>
      </c>
      <c r="BB350" s="1102">
        <v>2026</v>
      </c>
      <c r="BC350" s="1102">
        <v>6</v>
      </c>
      <c r="BD350" s="1102">
        <v>23</v>
      </c>
      <c r="BE350" s="1102">
        <v>36</v>
      </c>
      <c r="BF350" s="1102">
        <v>864</v>
      </c>
      <c r="BG350" s="1102" t="s">
        <v>85</v>
      </c>
      <c r="BH350" s="1102" t="s">
        <v>86</v>
      </c>
    </row>
    <row r="351" spans="1:60">
      <c r="A351" s="1102" t="s">
        <v>1728</v>
      </c>
      <c r="B351" s="1102" t="s">
        <v>111</v>
      </c>
      <c r="C351" s="1102" t="s">
        <v>1729</v>
      </c>
      <c r="D351" s="1102" t="s">
        <v>63</v>
      </c>
      <c r="E351" s="1102" t="s">
        <v>64</v>
      </c>
      <c r="F351" s="1102" t="s">
        <v>310</v>
      </c>
      <c r="G351" s="1102" t="s">
        <v>402</v>
      </c>
      <c r="H351" s="1102" t="s">
        <v>311</v>
      </c>
      <c r="I351" s="1102" t="s">
        <v>689</v>
      </c>
      <c r="J351" s="1102" t="s">
        <v>1730</v>
      </c>
      <c r="M351" s="1102" t="s">
        <v>68</v>
      </c>
      <c r="N351" s="1102">
        <v>46111</v>
      </c>
      <c r="O351" s="1102" t="s">
        <v>170</v>
      </c>
      <c r="P351" s="1102" t="s">
        <v>171</v>
      </c>
      <c r="Q351" s="1102" t="s">
        <v>1731</v>
      </c>
      <c r="R351" s="1102" t="s">
        <v>73</v>
      </c>
      <c r="S351" s="1102" t="s">
        <v>992</v>
      </c>
      <c r="T351" s="1102">
        <v>555</v>
      </c>
      <c r="U351" s="1102">
        <v>1320</v>
      </c>
      <c r="V351" s="1102">
        <v>0.73260000000000003</v>
      </c>
      <c r="W351" s="1102">
        <v>40</v>
      </c>
      <c r="X351" s="1102">
        <v>2</v>
      </c>
      <c r="Y351" s="1102" t="s">
        <v>75</v>
      </c>
      <c r="Z351" s="1102" t="s">
        <v>75</v>
      </c>
      <c r="AB351" s="1103">
        <v>46107</v>
      </c>
      <c r="AC351" s="1102">
        <v>13</v>
      </c>
      <c r="AD351" s="1102" t="s">
        <v>1732</v>
      </c>
      <c r="AF351" s="1102" t="s">
        <v>1643</v>
      </c>
      <c r="AG351" s="1102" t="s">
        <v>123</v>
      </c>
      <c r="AH351" s="1102" t="s">
        <v>314</v>
      </c>
      <c r="AI351" s="1103">
        <v>46111</v>
      </c>
      <c r="AJ351" s="1103">
        <v>46114</v>
      </c>
      <c r="AK351" s="1103">
        <v>46114</v>
      </c>
      <c r="AL351" s="1103">
        <v>46155</v>
      </c>
      <c r="AM351" s="1103">
        <v>46162</v>
      </c>
      <c r="AN351" s="1103">
        <v>46162</v>
      </c>
      <c r="AP351" s="1102" t="s">
        <v>1725</v>
      </c>
      <c r="AQ351" s="1102" t="s">
        <v>80</v>
      </c>
      <c r="AR351" s="1102" t="s">
        <v>1726</v>
      </c>
      <c r="AS351" s="1102" t="s">
        <v>1727</v>
      </c>
      <c r="AT351" s="1102" t="s">
        <v>1727</v>
      </c>
      <c r="AU351" s="1102">
        <v>48</v>
      </c>
      <c r="AW351" s="1103">
        <v>46162</v>
      </c>
      <c r="AX351" s="1102" t="s">
        <v>973</v>
      </c>
      <c r="AY351" s="1103">
        <v>46175</v>
      </c>
      <c r="AZ351" s="1102">
        <v>13</v>
      </c>
      <c r="BA351" s="1103">
        <v>46175</v>
      </c>
      <c r="BB351" s="1102">
        <v>2026</v>
      </c>
      <c r="BC351" s="1102">
        <v>6</v>
      </c>
      <c r="BD351" s="1102">
        <v>23</v>
      </c>
      <c r="BE351" s="1102">
        <v>33</v>
      </c>
      <c r="BF351" s="1102">
        <v>660</v>
      </c>
      <c r="BG351" s="1102" t="s">
        <v>108</v>
      </c>
      <c r="BH351" s="1102" t="s">
        <v>86</v>
      </c>
    </row>
    <row r="352" spans="1:60">
      <c r="A352" s="1102" t="s">
        <v>1733</v>
      </c>
      <c r="B352" s="1102" t="s">
        <v>111</v>
      </c>
      <c r="C352" s="1102" t="s">
        <v>1734</v>
      </c>
      <c r="D352" s="1102" t="s">
        <v>113</v>
      </c>
      <c r="E352" s="1102" t="s">
        <v>64</v>
      </c>
      <c r="F352" s="1102" t="s">
        <v>65</v>
      </c>
      <c r="G352" s="1102" t="s">
        <v>402</v>
      </c>
      <c r="H352" s="1102" t="s">
        <v>67</v>
      </c>
      <c r="I352" s="1102" t="s">
        <v>822</v>
      </c>
      <c r="J352" s="1102" t="s">
        <v>1327</v>
      </c>
      <c r="M352" s="1102" t="s">
        <v>68</v>
      </c>
      <c r="N352" s="1102" t="s">
        <v>68</v>
      </c>
      <c r="O352" s="1102" t="s">
        <v>70</v>
      </c>
      <c r="P352" s="1102" t="s">
        <v>378</v>
      </c>
      <c r="Q352" s="1102" t="s">
        <v>379</v>
      </c>
      <c r="R352" s="1102" t="s">
        <v>73</v>
      </c>
      <c r="S352" s="1102" t="s">
        <v>992</v>
      </c>
      <c r="T352" s="1102">
        <v>620</v>
      </c>
      <c r="U352" s="1102">
        <v>1440</v>
      </c>
      <c r="V352" s="1102">
        <v>0.89280000000000004</v>
      </c>
      <c r="W352" s="1102">
        <v>40</v>
      </c>
      <c r="X352" s="1102">
        <v>2</v>
      </c>
      <c r="Y352" s="1102" t="s">
        <v>75</v>
      </c>
      <c r="Z352" s="1102" t="s">
        <v>75</v>
      </c>
      <c r="AA352" s="1102" t="s">
        <v>1735</v>
      </c>
      <c r="AB352" s="1103">
        <v>46101</v>
      </c>
      <c r="AC352" s="1102">
        <v>12</v>
      </c>
      <c r="AD352" s="1102" t="s">
        <v>1736</v>
      </c>
      <c r="AF352" s="1102" t="s">
        <v>122</v>
      </c>
      <c r="AG352" s="1102" t="s">
        <v>123</v>
      </c>
      <c r="AH352" s="1102" t="s">
        <v>78</v>
      </c>
      <c r="AI352" s="1103">
        <v>46105</v>
      </c>
      <c r="AJ352" s="1103">
        <v>46105</v>
      </c>
      <c r="AK352" s="1103">
        <v>46105</v>
      </c>
      <c r="AL352" s="1103">
        <v>46154</v>
      </c>
      <c r="AM352" s="1103">
        <v>46151</v>
      </c>
      <c r="AN352" s="1103">
        <v>46151</v>
      </c>
      <c r="AO352" s="1102" t="s">
        <v>402</v>
      </c>
      <c r="AP352" s="1102" t="s">
        <v>930</v>
      </c>
      <c r="AQ352" s="1102" t="s">
        <v>80</v>
      </c>
      <c r="AR352" s="1102" t="s">
        <v>931</v>
      </c>
      <c r="AS352" s="1102" t="s">
        <v>932</v>
      </c>
      <c r="AT352" s="1102" t="s">
        <v>932</v>
      </c>
      <c r="AU352" s="1102">
        <v>46</v>
      </c>
      <c r="AW352" s="1103">
        <v>46151</v>
      </c>
      <c r="AX352" s="1102" t="s">
        <v>973</v>
      </c>
      <c r="AY352" s="1103">
        <v>46160</v>
      </c>
      <c r="AZ352" s="1102">
        <v>8</v>
      </c>
      <c r="BA352" s="1103">
        <v>46159</v>
      </c>
      <c r="BB352" s="1102">
        <v>2026</v>
      </c>
      <c r="BC352" s="1102">
        <v>5</v>
      </c>
      <c r="BD352" s="1102">
        <v>20</v>
      </c>
      <c r="BE352" s="1102">
        <v>36</v>
      </c>
      <c r="BF352" s="1102">
        <v>720</v>
      </c>
      <c r="BG352" s="1102" t="s">
        <v>128</v>
      </c>
      <c r="BH352" s="1102" t="s">
        <v>86</v>
      </c>
    </row>
    <row r="353" spans="1:60">
      <c r="A353" s="1102" t="s">
        <v>1737</v>
      </c>
      <c r="B353" s="1102" t="s">
        <v>111</v>
      </c>
      <c r="C353" s="1102" t="s">
        <v>1734</v>
      </c>
      <c r="D353" s="1102" t="s">
        <v>113</v>
      </c>
      <c r="E353" s="1102" t="s">
        <v>64</v>
      </c>
      <c r="F353" s="1102" t="s">
        <v>65</v>
      </c>
      <c r="G353" s="1102" t="s">
        <v>402</v>
      </c>
      <c r="H353" s="1102" t="s">
        <v>67</v>
      </c>
      <c r="I353" s="1102" t="s">
        <v>822</v>
      </c>
      <c r="J353" s="1102" t="s">
        <v>1327</v>
      </c>
      <c r="M353" s="1102" t="s">
        <v>68</v>
      </c>
      <c r="N353" s="1102" t="s">
        <v>68</v>
      </c>
      <c r="O353" s="1102" t="s">
        <v>70</v>
      </c>
      <c r="P353" s="1102" t="s">
        <v>378</v>
      </c>
      <c r="Q353" s="1102" t="s">
        <v>379</v>
      </c>
      <c r="R353" s="1102" t="s">
        <v>73</v>
      </c>
      <c r="S353" s="1102" t="s">
        <v>992</v>
      </c>
      <c r="T353" s="1102">
        <v>620</v>
      </c>
      <c r="U353" s="1102">
        <v>612</v>
      </c>
      <c r="V353" s="1102">
        <v>0.37944</v>
      </c>
      <c r="W353" s="1102">
        <v>17</v>
      </c>
      <c r="X353" s="1102">
        <v>0.85</v>
      </c>
      <c r="Y353" s="1102" t="s">
        <v>75</v>
      </c>
      <c r="Z353" s="1102" t="s">
        <v>75</v>
      </c>
      <c r="AB353" s="1103">
        <v>46100</v>
      </c>
      <c r="AC353" s="1102">
        <v>12</v>
      </c>
      <c r="AD353" s="1102" t="s">
        <v>1738</v>
      </c>
      <c r="AF353" s="1102" t="s">
        <v>122</v>
      </c>
      <c r="AG353" s="1102" t="s">
        <v>123</v>
      </c>
      <c r="AH353" s="1102" t="s">
        <v>78</v>
      </c>
      <c r="AI353" s="1103">
        <v>46105</v>
      </c>
      <c r="AJ353" s="1103">
        <v>46105</v>
      </c>
      <c r="AK353" s="1103">
        <v>46105</v>
      </c>
      <c r="AL353" s="1103">
        <v>46154</v>
      </c>
      <c r="AM353" s="1103">
        <v>46151</v>
      </c>
      <c r="AN353" s="1103">
        <v>46151</v>
      </c>
      <c r="AO353" s="1102" t="s">
        <v>402</v>
      </c>
      <c r="AP353" s="1102" t="s">
        <v>1739</v>
      </c>
      <c r="AQ353" s="1102" t="s">
        <v>80</v>
      </c>
      <c r="AR353" s="1102" t="s">
        <v>931</v>
      </c>
      <c r="AS353" s="1102" t="s">
        <v>932</v>
      </c>
      <c r="AT353" s="1102" t="s">
        <v>932</v>
      </c>
      <c r="AU353" s="1102">
        <v>46</v>
      </c>
      <c r="AW353" s="1103">
        <v>46151</v>
      </c>
      <c r="AX353" s="1102" t="s">
        <v>973</v>
      </c>
      <c r="AY353" s="1103">
        <v>46160</v>
      </c>
      <c r="AZ353" s="1102">
        <v>8</v>
      </c>
      <c r="BA353" s="1103">
        <v>46159</v>
      </c>
      <c r="BB353" s="1102">
        <v>2026</v>
      </c>
      <c r="BC353" s="1102">
        <v>5</v>
      </c>
      <c r="BD353" s="1102">
        <v>20</v>
      </c>
      <c r="BE353" s="1102">
        <v>36</v>
      </c>
      <c r="BF353" s="1102">
        <v>720</v>
      </c>
      <c r="BG353" s="1102" t="s">
        <v>128</v>
      </c>
      <c r="BH353" s="1102" t="s">
        <v>86</v>
      </c>
    </row>
    <row r="354" spans="1:60">
      <c r="A354" s="1102" t="s">
        <v>1740</v>
      </c>
      <c r="B354" s="1102" t="s">
        <v>111</v>
      </c>
      <c r="C354" s="1102" t="s">
        <v>1326</v>
      </c>
      <c r="D354" s="1102" t="s">
        <v>113</v>
      </c>
      <c r="E354" s="1102" t="s">
        <v>64</v>
      </c>
      <c r="F354" s="1102" t="s">
        <v>65</v>
      </c>
      <c r="G354" s="1102" t="s">
        <v>402</v>
      </c>
      <c r="H354" s="1102" t="s">
        <v>67</v>
      </c>
      <c r="I354" s="1102" t="s">
        <v>822</v>
      </c>
      <c r="J354" s="1102" t="s">
        <v>1327</v>
      </c>
      <c r="M354" s="1102" t="s">
        <v>68</v>
      </c>
      <c r="N354" s="1102" t="s">
        <v>68</v>
      </c>
      <c r="O354" s="1102" t="s">
        <v>70</v>
      </c>
      <c r="P354" s="1102" t="s">
        <v>218</v>
      </c>
      <c r="Q354" s="1102" t="s">
        <v>219</v>
      </c>
      <c r="R354" s="1102" t="s">
        <v>73</v>
      </c>
      <c r="S354" s="1102" t="s">
        <v>992</v>
      </c>
      <c r="T354" s="1102">
        <v>625</v>
      </c>
      <c r="U354" s="1102">
        <v>1008</v>
      </c>
      <c r="V354" s="1102">
        <v>0.63</v>
      </c>
      <c r="W354" s="1102">
        <v>28</v>
      </c>
      <c r="X354" s="1102">
        <v>1.4</v>
      </c>
      <c r="Y354" s="1102" t="s">
        <v>75</v>
      </c>
      <c r="Z354" s="1102" t="s">
        <v>75</v>
      </c>
      <c r="AB354" s="1103">
        <v>46100</v>
      </c>
      <c r="AC354" s="1102">
        <v>12</v>
      </c>
      <c r="AD354" s="1102" t="s">
        <v>1741</v>
      </c>
      <c r="AF354" s="1102" t="s">
        <v>122</v>
      </c>
      <c r="AG354" s="1102" t="s">
        <v>123</v>
      </c>
      <c r="AH354" s="1102" t="s">
        <v>78</v>
      </c>
      <c r="AI354" s="1103">
        <v>46105</v>
      </c>
      <c r="AJ354" s="1103">
        <v>46105</v>
      </c>
      <c r="AK354" s="1103">
        <v>46105</v>
      </c>
      <c r="AL354" s="1103">
        <v>46154</v>
      </c>
      <c r="AM354" s="1103">
        <v>46151</v>
      </c>
      <c r="AN354" s="1103">
        <v>46151</v>
      </c>
      <c r="AO354" s="1102" t="s">
        <v>402</v>
      </c>
      <c r="AP354" s="1102" t="s">
        <v>930</v>
      </c>
      <c r="AQ354" s="1102" t="s">
        <v>80</v>
      </c>
      <c r="AR354" s="1102" t="s">
        <v>931</v>
      </c>
      <c r="AS354" s="1102" t="s">
        <v>932</v>
      </c>
      <c r="AT354" s="1102" t="s">
        <v>932</v>
      </c>
      <c r="AU354" s="1102">
        <v>46</v>
      </c>
      <c r="AW354" s="1103">
        <v>46151</v>
      </c>
      <c r="AX354" s="1102" t="s">
        <v>973</v>
      </c>
      <c r="AY354" s="1103">
        <v>46160</v>
      </c>
      <c r="AZ354" s="1102">
        <v>8</v>
      </c>
      <c r="BA354" s="1103">
        <v>46159</v>
      </c>
      <c r="BB354" s="1102">
        <v>2026</v>
      </c>
      <c r="BC354" s="1102">
        <v>5</v>
      </c>
      <c r="BD354" s="1102">
        <v>20</v>
      </c>
      <c r="BE354" s="1102">
        <v>36</v>
      </c>
      <c r="BF354" s="1102">
        <v>720</v>
      </c>
      <c r="BG354" s="1102" t="s">
        <v>128</v>
      </c>
      <c r="BH354" s="1102" t="s">
        <v>86</v>
      </c>
    </row>
    <row r="355" spans="1:60">
      <c r="A355" s="1102" t="s">
        <v>1742</v>
      </c>
      <c r="B355" s="1102" t="s">
        <v>111</v>
      </c>
      <c r="C355" s="1102" t="s">
        <v>1333</v>
      </c>
      <c r="D355" s="1102" t="s">
        <v>113</v>
      </c>
      <c r="E355" s="1102" t="s">
        <v>64</v>
      </c>
      <c r="F355" s="1102" t="s">
        <v>65</v>
      </c>
      <c r="G355" s="1102" t="s">
        <v>402</v>
      </c>
      <c r="H355" s="1102" t="s">
        <v>67</v>
      </c>
      <c r="I355" s="1102" t="s">
        <v>822</v>
      </c>
      <c r="J355" s="1102" t="s">
        <v>1327</v>
      </c>
      <c r="M355" s="1102" t="s">
        <v>68</v>
      </c>
      <c r="N355" s="1102" t="s">
        <v>68</v>
      </c>
      <c r="O355" s="1102" t="s">
        <v>70</v>
      </c>
      <c r="P355" s="1102" t="s">
        <v>1334</v>
      </c>
      <c r="Q355" s="1102" t="s">
        <v>1335</v>
      </c>
      <c r="R355" s="1102" t="s">
        <v>73</v>
      </c>
      <c r="S355" s="1102" t="s">
        <v>992</v>
      </c>
      <c r="T355" s="1102">
        <v>630</v>
      </c>
      <c r="U355" s="1102">
        <v>540</v>
      </c>
      <c r="V355" s="1102">
        <v>0.3402</v>
      </c>
      <c r="W355" s="1102">
        <v>15</v>
      </c>
      <c r="X355" s="1102">
        <v>0.75</v>
      </c>
      <c r="Y355" s="1102" t="s">
        <v>75</v>
      </c>
      <c r="Z355" s="1102" t="s">
        <v>75</v>
      </c>
      <c r="AB355" s="1103">
        <v>46100</v>
      </c>
      <c r="AC355" s="1102">
        <v>12</v>
      </c>
      <c r="AD355" s="1102" t="s">
        <v>1743</v>
      </c>
      <c r="AF355" s="1102" t="s">
        <v>122</v>
      </c>
      <c r="AG355" s="1102" t="s">
        <v>123</v>
      </c>
      <c r="AH355" s="1102" t="s">
        <v>78</v>
      </c>
      <c r="AI355" s="1103">
        <v>46105</v>
      </c>
      <c r="AJ355" s="1103">
        <v>46105</v>
      </c>
      <c r="AK355" s="1103">
        <v>46105</v>
      </c>
      <c r="AL355" s="1103">
        <v>46154</v>
      </c>
      <c r="AM355" s="1103">
        <v>46151</v>
      </c>
      <c r="AN355" s="1103">
        <v>46151</v>
      </c>
      <c r="AO355" s="1102" t="s">
        <v>402</v>
      </c>
      <c r="AP355" s="1102" t="s">
        <v>930</v>
      </c>
      <c r="AQ355" s="1102" t="s">
        <v>80</v>
      </c>
      <c r="AR355" s="1102" t="s">
        <v>931</v>
      </c>
      <c r="AS355" s="1102" t="s">
        <v>932</v>
      </c>
      <c r="AT355" s="1102" t="s">
        <v>932</v>
      </c>
      <c r="AU355" s="1102">
        <v>46</v>
      </c>
      <c r="AW355" s="1103">
        <v>46151</v>
      </c>
      <c r="AX355" s="1102" t="s">
        <v>973</v>
      </c>
      <c r="AY355" s="1103">
        <v>46160</v>
      </c>
      <c r="AZ355" s="1102">
        <v>8</v>
      </c>
      <c r="BA355" s="1103">
        <v>46159</v>
      </c>
      <c r="BB355" s="1102">
        <v>2026</v>
      </c>
      <c r="BC355" s="1102">
        <v>5</v>
      </c>
      <c r="BD355" s="1102">
        <v>20</v>
      </c>
      <c r="BE355" s="1102">
        <v>36</v>
      </c>
      <c r="BF355" s="1102">
        <v>720</v>
      </c>
      <c r="BG355" s="1102" t="s">
        <v>94</v>
      </c>
      <c r="BH355" s="1102" t="s">
        <v>86</v>
      </c>
    </row>
    <row r="356" spans="1:60">
      <c r="A356" s="1102" t="s">
        <v>1744</v>
      </c>
      <c r="B356" s="1102" t="s">
        <v>111</v>
      </c>
      <c r="C356" s="1102" t="s">
        <v>1734</v>
      </c>
      <c r="D356" s="1102" t="s">
        <v>113</v>
      </c>
      <c r="E356" s="1102" t="s">
        <v>64</v>
      </c>
      <c r="F356" s="1102" t="s">
        <v>65</v>
      </c>
      <c r="G356" s="1102" t="s">
        <v>402</v>
      </c>
      <c r="H356" s="1102" t="s">
        <v>67</v>
      </c>
      <c r="I356" s="1102" t="s">
        <v>822</v>
      </c>
      <c r="J356" s="1102" t="s">
        <v>1745</v>
      </c>
      <c r="M356" s="1102" t="s">
        <v>68</v>
      </c>
      <c r="N356" s="1102" t="s">
        <v>68</v>
      </c>
      <c r="O356" s="1102" t="s">
        <v>70</v>
      </c>
      <c r="P356" s="1102" t="s">
        <v>378</v>
      </c>
      <c r="Q356" s="1102" t="s">
        <v>379</v>
      </c>
      <c r="R356" s="1102" t="s">
        <v>73</v>
      </c>
      <c r="S356" s="1102" t="s">
        <v>992</v>
      </c>
      <c r="T356" s="1102">
        <v>620</v>
      </c>
      <c r="U356" s="1102">
        <v>288</v>
      </c>
      <c r="V356" s="1102">
        <v>0.17856</v>
      </c>
      <c r="W356" s="1102">
        <v>8</v>
      </c>
      <c r="X356" s="1102">
        <v>0.4</v>
      </c>
      <c r="Y356" s="1102" t="s">
        <v>75</v>
      </c>
      <c r="Z356" s="1102" t="s">
        <v>75</v>
      </c>
      <c r="AB356" s="1103">
        <v>46100</v>
      </c>
      <c r="AC356" s="1102">
        <v>12</v>
      </c>
      <c r="AD356" s="1102" t="s">
        <v>1746</v>
      </c>
      <c r="AF356" s="1102" t="s">
        <v>122</v>
      </c>
      <c r="AG356" s="1102" t="s">
        <v>123</v>
      </c>
      <c r="AH356" s="1102" t="s">
        <v>78</v>
      </c>
      <c r="AI356" s="1103">
        <v>46105</v>
      </c>
      <c r="AJ356" s="1103">
        <v>46105</v>
      </c>
      <c r="AK356" s="1103">
        <v>46105</v>
      </c>
      <c r="AL356" s="1103">
        <v>46154</v>
      </c>
      <c r="AM356" s="1103">
        <v>46151</v>
      </c>
      <c r="AN356" s="1103">
        <v>46151</v>
      </c>
      <c r="AO356" s="1102" t="s">
        <v>402</v>
      </c>
      <c r="AP356" s="1102" t="s">
        <v>930</v>
      </c>
      <c r="AQ356" s="1102" t="s">
        <v>80</v>
      </c>
      <c r="AR356" s="1102" t="s">
        <v>931</v>
      </c>
      <c r="AS356" s="1102" t="s">
        <v>932</v>
      </c>
      <c r="AT356" s="1102" t="s">
        <v>932</v>
      </c>
      <c r="AU356" s="1102">
        <v>46</v>
      </c>
      <c r="AW356" s="1103">
        <v>46151</v>
      </c>
      <c r="AX356" s="1102" t="s">
        <v>973</v>
      </c>
      <c r="AY356" s="1103">
        <v>46160</v>
      </c>
      <c r="AZ356" s="1102">
        <v>8</v>
      </c>
      <c r="BA356" s="1103">
        <v>46159</v>
      </c>
      <c r="BB356" s="1102">
        <v>2026</v>
      </c>
      <c r="BC356" s="1102">
        <v>5</v>
      </c>
      <c r="BD356" s="1102">
        <v>20</v>
      </c>
      <c r="BE356" s="1102">
        <v>36</v>
      </c>
      <c r="BF356" s="1102">
        <v>720</v>
      </c>
      <c r="BG356" s="1102" t="s">
        <v>128</v>
      </c>
      <c r="BH356" s="1102" t="s">
        <v>86</v>
      </c>
    </row>
    <row r="357" spans="1:60">
      <c r="A357" s="1102" t="s">
        <v>1445</v>
      </c>
      <c r="B357" s="1102" t="s">
        <v>111</v>
      </c>
      <c r="C357" s="1102" t="s">
        <v>203</v>
      </c>
      <c r="D357" s="1102" t="s">
        <v>113</v>
      </c>
      <c r="E357" s="1102" t="s">
        <v>64</v>
      </c>
      <c r="F357" s="1102" t="s">
        <v>65</v>
      </c>
      <c r="G357" s="1102" t="s">
        <v>402</v>
      </c>
      <c r="H357" s="1102" t="s">
        <v>67</v>
      </c>
      <c r="I357" s="1102" t="s">
        <v>689</v>
      </c>
      <c r="J357" s="1102" t="s">
        <v>1747</v>
      </c>
      <c r="M357" s="1102" t="s">
        <v>68</v>
      </c>
      <c r="N357" s="1102">
        <v>46045</v>
      </c>
      <c r="O357" s="1102" t="s">
        <v>713</v>
      </c>
      <c r="P357" s="1102" t="s">
        <v>1429</v>
      </c>
      <c r="Q357" s="1102" t="s">
        <v>1430</v>
      </c>
      <c r="R357" s="1102" t="s">
        <v>73</v>
      </c>
      <c r="S357" s="1102" t="s">
        <v>1187</v>
      </c>
      <c r="T357" s="1102">
        <v>620</v>
      </c>
      <c r="U357" s="1102">
        <v>72</v>
      </c>
      <c r="V357" s="1102">
        <v>4.4639999999999999E-2</v>
      </c>
      <c r="W357" s="1102">
        <v>2</v>
      </c>
      <c r="X357" s="1102">
        <v>0.1</v>
      </c>
      <c r="Y357" s="1102" t="s">
        <v>75</v>
      </c>
      <c r="Z357" s="1102" t="s">
        <v>75</v>
      </c>
      <c r="AB357" s="1103">
        <v>46100</v>
      </c>
      <c r="AC357" s="1102">
        <v>12</v>
      </c>
      <c r="AD357" s="1102" t="s">
        <v>1748</v>
      </c>
      <c r="AF357" s="1102" t="s">
        <v>122</v>
      </c>
      <c r="AG357" s="1102" t="s">
        <v>123</v>
      </c>
      <c r="AH357" s="1102" t="s">
        <v>78</v>
      </c>
      <c r="AI357" s="1103">
        <v>46105</v>
      </c>
      <c r="AJ357" s="1103">
        <v>46105</v>
      </c>
      <c r="AK357" s="1103">
        <v>46105</v>
      </c>
      <c r="AL357" s="1103">
        <v>46154</v>
      </c>
      <c r="AM357" s="1103">
        <v>46151</v>
      </c>
      <c r="AN357" s="1103">
        <v>46151</v>
      </c>
      <c r="AO357" s="1102" t="s">
        <v>402</v>
      </c>
      <c r="AP357" s="1102" t="s">
        <v>930</v>
      </c>
      <c r="AQ357" s="1102" t="s">
        <v>80</v>
      </c>
      <c r="AR357" s="1102" t="s">
        <v>931</v>
      </c>
      <c r="AS357" s="1102" t="s">
        <v>932</v>
      </c>
      <c r="AT357" s="1102" t="s">
        <v>932</v>
      </c>
      <c r="AU357" s="1102">
        <v>46</v>
      </c>
      <c r="AW357" s="1103">
        <v>46151</v>
      </c>
      <c r="AX357" s="1102" t="s">
        <v>973</v>
      </c>
      <c r="AY357" s="1103">
        <v>46160</v>
      </c>
      <c r="AZ357" s="1102">
        <v>8</v>
      </c>
      <c r="BA357" s="1103">
        <v>46159</v>
      </c>
      <c r="BB357" s="1102">
        <v>2026</v>
      </c>
      <c r="BC357" s="1102">
        <v>5</v>
      </c>
      <c r="BD357" s="1102">
        <v>20</v>
      </c>
      <c r="BE357" s="1102">
        <v>36</v>
      </c>
      <c r="BF357" s="1102">
        <v>720</v>
      </c>
      <c r="BG357" s="1102" t="s">
        <v>108</v>
      </c>
      <c r="BH357" s="1102" t="s">
        <v>86</v>
      </c>
    </row>
    <row r="358" spans="1:60">
      <c r="A358" s="1102" t="s">
        <v>1749</v>
      </c>
      <c r="B358" s="1102" t="s">
        <v>111</v>
      </c>
      <c r="C358" s="1102" t="s">
        <v>991</v>
      </c>
      <c r="D358" s="1102" t="s">
        <v>63</v>
      </c>
      <c r="E358" s="1102" t="s">
        <v>144</v>
      </c>
      <c r="F358" s="1102" t="s">
        <v>145</v>
      </c>
      <c r="G358" s="1102" t="s">
        <v>402</v>
      </c>
      <c r="H358" s="1102" t="s">
        <v>593</v>
      </c>
      <c r="I358" s="1102" t="s">
        <v>869</v>
      </c>
      <c r="J358" s="1102" t="s">
        <v>594</v>
      </c>
      <c r="K358" s="1102" t="s">
        <v>1750</v>
      </c>
      <c r="M358" s="1102" t="s">
        <v>840</v>
      </c>
      <c r="N358" s="1102">
        <v>46048</v>
      </c>
      <c r="O358" s="1102" t="s">
        <v>132</v>
      </c>
      <c r="P358" s="1102" t="s">
        <v>133</v>
      </c>
      <c r="Q358" s="1102" t="s">
        <v>134</v>
      </c>
      <c r="R358" s="1102" t="s">
        <v>73</v>
      </c>
      <c r="S358" s="1102" t="s">
        <v>992</v>
      </c>
      <c r="T358" s="1102">
        <v>720</v>
      </c>
      <c r="U358" s="1102">
        <v>2970</v>
      </c>
      <c r="V358" s="1102">
        <v>2.1383999999999999</v>
      </c>
      <c r="W358" s="1102">
        <v>90</v>
      </c>
      <c r="X358" s="1102">
        <v>5</v>
      </c>
      <c r="Y358" s="1102" t="s">
        <v>75</v>
      </c>
      <c r="Z358" s="1102" t="s">
        <v>75</v>
      </c>
      <c r="AB358" s="1103">
        <v>46100</v>
      </c>
      <c r="AC358" s="1102">
        <v>12</v>
      </c>
      <c r="AD358" s="1102" t="s">
        <v>1751</v>
      </c>
      <c r="AE358" s="1102" t="s">
        <v>1752</v>
      </c>
      <c r="AF358" s="1102" t="s">
        <v>122</v>
      </c>
      <c r="AG358" s="1102" t="s">
        <v>123</v>
      </c>
      <c r="AH358" s="1102" t="s">
        <v>124</v>
      </c>
      <c r="AI358" s="1103">
        <v>46106</v>
      </c>
      <c r="AJ358" s="1103">
        <v>46108</v>
      </c>
      <c r="AK358" s="1103">
        <v>46108</v>
      </c>
      <c r="AL358" s="1103">
        <v>46149</v>
      </c>
      <c r="AM358" s="1103">
        <v>46149</v>
      </c>
      <c r="AN358" s="1103">
        <v>46149</v>
      </c>
      <c r="AO358" s="1102" t="s">
        <v>402</v>
      </c>
      <c r="AP358" s="1102" t="s">
        <v>1753</v>
      </c>
      <c r="AQ358" s="1102" t="s">
        <v>80</v>
      </c>
      <c r="AR358" s="1102" t="s">
        <v>1754</v>
      </c>
      <c r="AS358" s="1102" t="s">
        <v>1755</v>
      </c>
      <c r="AT358" s="1102" t="s">
        <v>1755</v>
      </c>
      <c r="AU358" s="1102">
        <v>41</v>
      </c>
      <c r="AW358" s="1103">
        <v>46149</v>
      </c>
      <c r="AX358" s="1102" t="s">
        <v>973</v>
      </c>
      <c r="AY358" s="1103">
        <v>46162</v>
      </c>
      <c r="AZ358" s="1102">
        <v>0</v>
      </c>
      <c r="BA358" s="1103">
        <v>46149</v>
      </c>
      <c r="BB358" s="1102">
        <v>2026</v>
      </c>
      <c r="BC358" s="1102">
        <v>5</v>
      </c>
      <c r="BD358" s="1102">
        <v>19</v>
      </c>
      <c r="BE358" s="1102">
        <v>33</v>
      </c>
      <c r="BF358" s="1102">
        <v>594</v>
      </c>
      <c r="BG358" s="1102" t="s">
        <v>108</v>
      </c>
      <c r="BH358" s="1102" t="s">
        <v>86</v>
      </c>
    </row>
    <row r="359" spans="1:60">
      <c r="A359" s="1102" t="s">
        <v>1756</v>
      </c>
      <c r="B359" s="1102" t="s">
        <v>1757</v>
      </c>
      <c r="C359" s="1102" t="s">
        <v>1593</v>
      </c>
      <c r="D359" s="1102" t="s">
        <v>63</v>
      </c>
      <c r="E359" s="1102" t="s">
        <v>144</v>
      </c>
      <c r="F359" s="1102" t="s">
        <v>145</v>
      </c>
      <c r="G359" s="1102" t="s">
        <v>402</v>
      </c>
      <c r="H359" s="1102" t="s">
        <v>881</v>
      </c>
      <c r="I359" s="1102" t="s">
        <v>689</v>
      </c>
      <c r="J359" s="1102" t="s">
        <v>1758</v>
      </c>
      <c r="K359" s="1102" t="s">
        <v>1759</v>
      </c>
      <c r="M359" s="1102" t="s">
        <v>840</v>
      </c>
      <c r="N359" s="1102">
        <v>46090</v>
      </c>
      <c r="O359" s="1102" t="s">
        <v>70</v>
      </c>
      <c r="P359" s="1102" t="s">
        <v>71</v>
      </c>
      <c r="Q359" s="1102" t="s">
        <v>72</v>
      </c>
      <c r="R359" s="1102" t="s">
        <v>73</v>
      </c>
      <c r="S359" s="1102" t="s">
        <v>967</v>
      </c>
      <c r="T359" s="1102">
        <v>500</v>
      </c>
      <c r="U359" s="1102">
        <v>2592</v>
      </c>
      <c r="V359" s="1102">
        <v>1.296</v>
      </c>
      <c r="W359" s="1102">
        <v>72</v>
      </c>
      <c r="X359" s="1102">
        <v>3</v>
      </c>
      <c r="Y359" s="1102" t="s">
        <v>75</v>
      </c>
      <c r="Z359" s="1102" t="s">
        <v>75</v>
      </c>
      <c r="AA359" s="1102" t="s">
        <v>1760</v>
      </c>
      <c r="AB359" s="1103">
        <v>46109</v>
      </c>
      <c r="AC359" s="1102">
        <v>13</v>
      </c>
      <c r="AD359" s="1102" t="s">
        <v>1761</v>
      </c>
      <c r="AF359" s="1102" t="s">
        <v>1762</v>
      </c>
      <c r="AG359" s="1102" t="s">
        <v>123</v>
      </c>
      <c r="AH359" s="1102" t="s">
        <v>888</v>
      </c>
      <c r="AI359" s="1103">
        <v>46112</v>
      </c>
      <c r="AJ359" s="1103">
        <v>46112</v>
      </c>
      <c r="AK359" s="1103">
        <v>46113</v>
      </c>
      <c r="AL359" s="1103">
        <v>46162</v>
      </c>
      <c r="AM359" s="1103">
        <v>46162</v>
      </c>
      <c r="AN359" s="1103">
        <v>46162</v>
      </c>
      <c r="AO359" s="1102" t="s">
        <v>402</v>
      </c>
      <c r="AP359" s="1102" t="s">
        <v>1763</v>
      </c>
      <c r="AQ359" s="1102" t="s">
        <v>80</v>
      </c>
      <c r="AR359" s="1102" t="s">
        <v>1764</v>
      </c>
      <c r="AS359" s="1102" t="s">
        <v>1765</v>
      </c>
      <c r="AT359" s="1102" t="s">
        <v>1765</v>
      </c>
      <c r="AU359" s="1102">
        <v>49</v>
      </c>
      <c r="AW359" s="1103">
        <v>46162</v>
      </c>
      <c r="AX359" s="1102" t="s">
        <v>973</v>
      </c>
      <c r="AY359" s="1103">
        <v>46175</v>
      </c>
      <c r="AZ359" s="1102">
        <v>0</v>
      </c>
      <c r="BA359" s="1103">
        <v>46162</v>
      </c>
      <c r="BB359" s="1102">
        <v>2026</v>
      </c>
      <c r="BC359" s="1102">
        <v>5</v>
      </c>
      <c r="BD359" s="1102">
        <v>21</v>
      </c>
      <c r="BE359" s="1102">
        <v>36</v>
      </c>
      <c r="BF359" s="1102">
        <v>864</v>
      </c>
      <c r="BG359" s="1102" t="s">
        <v>85</v>
      </c>
      <c r="BH359" s="1102" t="s">
        <v>109</v>
      </c>
    </row>
    <row r="360" spans="1:60">
      <c r="A360" s="1102" t="s">
        <v>1766</v>
      </c>
      <c r="B360" s="1102" t="s">
        <v>1757</v>
      </c>
      <c r="C360" s="1102" t="s">
        <v>1593</v>
      </c>
      <c r="D360" s="1102" t="s">
        <v>63</v>
      </c>
      <c r="E360" s="1102" t="s">
        <v>64</v>
      </c>
      <c r="F360" s="1102" t="s">
        <v>100</v>
      </c>
      <c r="G360" s="1102" t="s">
        <v>402</v>
      </c>
      <c r="H360" s="1102" t="s">
        <v>67</v>
      </c>
      <c r="I360" s="1102" t="s">
        <v>689</v>
      </c>
      <c r="J360" s="1102" t="s">
        <v>1767</v>
      </c>
      <c r="M360" s="1102" t="s">
        <v>68</v>
      </c>
      <c r="N360" s="1102">
        <v>46104</v>
      </c>
      <c r="O360" s="1102" t="s">
        <v>70</v>
      </c>
      <c r="P360" s="1102" t="s">
        <v>71</v>
      </c>
      <c r="Q360" s="1102" t="s">
        <v>72</v>
      </c>
      <c r="R360" s="1102" t="s">
        <v>73</v>
      </c>
      <c r="S360" s="1102" t="s">
        <v>967</v>
      </c>
      <c r="T360" s="1102">
        <v>500</v>
      </c>
      <c r="U360" s="1102">
        <v>2592</v>
      </c>
      <c r="V360" s="1102">
        <v>1.296</v>
      </c>
      <c r="W360" s="1102">
        <v>72</v>
      </c>
      <c r="X360" s="1102">
        <v>3</v>
      </c>
      <c r="Y360" s="1102" t="s">
        <v>75</v>
      </c>
      <c r="Z360" s="1102" t="s">
        <v>75</v>
      </c>
      <c r="AA360" s="1102" t="s">
        <v>1768</v>
      </c>
      <c r="AB360" s="1103">
        <v>46097</v>
      </c>
      <c r="AC360" s="1102">
        <v>12</v>
      </c>
      <c r="AD360" s="1102" t="s">
        <v>1769</v>
      </c>
      <c r="AF360" s="1102" t="s">
        <v>122</v>
      </c>
      <c r="AG360" s="1102" t="s">
        <v>123</v>
      </c>
      <c r="AH360" s="1102" t="s">
        <v>105</v>
      </c>
      <c r="AI360" s="1103">
        <v>46103</v>
      </c>
      <c r="AJ360" s="1103">
        <v>46103</v>
      </c>
      <c r="AK360" s="1103">
        <v>46103</v>
      </c>
      <c r="AL360" s="1103">
        <v>46144</v>
      </c>
      <c r="AM360" s="1103">
        <v>46151</v>
      </c>
      <c r="AN360" s="1103">
        <v>46153</v>
      </c>
      <c r="AO360" s="1102" t="s">
        <v>402</v>
      </c>
      <c r="AP360" s="1102" t="s">
        <v>1720</v>
      </c>
      <c r="AQ360" s="1102" t="s">
        <v>80</v>
      </c>
      <c r="AR360" s="1102" t="s">
        <v>1770</v>
      </c>
      <c r="AS360" s="1102" t="s">
        <v>1771</v>
      </c>
      <c r="AT360" s="1102" t="s">
        <v>1771</v>
      </c>
      <c r="AU360" s="1102">
        <v>50</v>
      </c>
      <c r="AW360" s="1103">
        <v>46153</v>
      </c>
      <c r="AX360" s="1102" t="s">
        <v>973</v>
      </c>
      <c r="AY360" s="1103">
        <v>46159</v>
      </c>
      <c r="AZ360" s="1102">
        <v>7</v>
      </c>
      <c r="BA360" s="1103">
        <v>46160</v>
      </c>
      <c r="BB360" s="1102">
        <v>2026</v>
      </c>
      <c r="BC360" s="1102">
        <v>5</v>
      </c>
      <c r="BD360" s="1102">
        <v>21</v>
      </c>
      <c r="BE360" s="1102">
        <v>36</v>
      </c>
      <c r="BF360" s="1102">
        <v>864</v>
      </c>
      <c r="BG360" s="1102" t="s">
        <v>85</v>
      </c>
      <c r="BH360" s="1102" t="s">
        <v>109</v>
      </c>
    </row>
    <row r="361" spans="1:60">
      <c r="A361" s="1102" t="s">
        <v>1772</v>
      </c>
      <c r="B361" s="1102" t="s">
        <v>1757</v>
      </c>
      <c r="C361" s="1102" t="s">
        <v>1286</v>
      </c>
      <c r="D361" s="1102" t="s">
        <v>63</v>
      </c>
      <c r="E361" s="1102" t="s">
        <v>64</v>
      </c>
      <c r="F361" s="1102" t="s">
        <v>100</v>
      </c>
      <c r="G361" s="1102" t="s">
        <v>402</v>
      </c>
      <c r="H361" s="1102" t="s">
        <v>67</v>
      </c>
      <c r="I361" s="1102" t="s">
        <v>689</v>
      </c>
      <c r="J361" s="1102" t="s">
        <v>101</v>
      </c>
      <c r="M361" s="1102" t="s">
        <v>68</v>
      </c>
      <c r="N361" s="1102">
        <v>46104</v>
      </c>
      <c r="O361" s="1102" t="s">
        <v>70</v>
      </c>
      <c r="P361" s="1102" t="s">
        <v>1151</v>
      </c>
      <c r="Q361" s="1102" t="s">
        <v>421</v>
      </c>
      <c r="R361" s="1102" t="s">
        <v>73</v>
      </c>
      <c r="S361" s="1102" t="s">
        <v>967</v>
      </c>
      <c r="T361" s="1102">
        <v>505</v>
      </c>
      <c r="U361" s="1102">
        <v>4320</v>
      </c>
      <c r="V361" s="1102">
        <v>2.1816</v>
      </c>
      <c r="W361" s="1102">
        <v>120</v>
      </c>
      <c r="X361" s="1102">
        <v>5</v>
      </c>
      <c r="Y361" s="1102" t="s">
        <v>75</v>
      </c>
      <c r="Z361" s="1102" t="s">
        <v>75</v>
      </c>
      <c r="AA361" s="1102" t="s">
        <v>1773</v>
      </c>
      <c r="AB361" s="1103">
        <v>46097</v>
      </c>
      <c r="AC361" s="1102">
        <v>12</v>
      </c>
      <c r="AD361" s="1102" t="s">
        <v>1774</v>
      </c>
      <c r="AF361" s="1102" t="s">
        <v>122</v>
      </c>
      <c r="AG361" s="1102" t="s">
        <v>123</v>
      </c>
      <c r="AH361" s="1102" t="s">
        <v>105</v>
      </c>
      <c r="AI361" s="1103">
        <v>46103</v>
      </c>
      <c r="AJ361" s="1103">
        <v>46103</v>
      </c>
      <c r="AK361" s="1103">
        <v>46103</v>
      </c>
      <c r="AL361" s="1103">
        <v>46144</v>
      </c>
      <c r="AM361" s="1103">
        <v>46151</v>
      </c>
      <c r="AN361" s="1103">
        <v>46153</v>
      </c>
      <c r="AO361" s="1102" t="s">
        <v>402</v>
      </c>
      <c r="AP361" s="1102" t="s">
        <v>1720</v>
      </c>
      <c r="AQ361" s="1102" t="s">
        <v>80</v>
      </c>
      <c r="AR361" s="1102" t="s">
        <v>1770</v>
      </c>
      <c r="AS361" s="1102" t="s">
        <v>1771</v>
      </c>
      <c r="AT361" s="1102" t="s">
        <v>1771</v>
      </c>
      <c r="AU361" s="1102">
        <v>50</v>
      </c>
      <c r="AW361" s="1103">
        <v>46153</v>
      </c>
      <c r="AX361" s="1102" t="s">
        <v>973</v>
      </c>
      <c r="AY361" s="1103">
        <v>46159</v>
      </c>
      <c r="AZ361" s="1102">
        <v>7</v>
      </c>
      <c r="BA361" s="1103">
        <v>46160</v>
      </c>
      <c r="BB361" s="1102">
        <v>2026</v>
      </c>
      <c r="BC361" s="1102">
        <v>5</v>
      </c>
      <c r="BD361" s="1102">
        <v>21</v>
      </c>
      <c r="BE361" s="1102">
        <v>36</v>
      </c>
      <c r="BF361" s="1102">
        <v>864</v>
      </c>
      <c r="BG361" s="1102" t="s">
        <v>85</v>
      </c>
      <c r="BH361" s="1102" t="s">
        <v>109</v>
      </c>
    </row>
    <row r="362" spans="1:60">
      <c r="A362" s="1102" t="s">
        <v>1775</v>
      </c>
      <c r="B362" s="1102" t="s">
        <v>1519</v>
      </c>
      <c r="C362" s="1102" t="s">
        <v>1520</v>
      </c>
      <c r="D362" s="1102" t="s">
        <v>63</v>
      </c>
      <c r="E362" s="1102" t="s">
        <v>64</v>
      </c>
      <c r="F362" s="1102" t="s">
        <v>310</v>
      </c>
      <c r="G362" s="1102" t="s">
        <v>402</v>
      </c>
      <c r="H362" s="1102" t="s">
        <v>311</v>
      </c>
      <c r="I362" s="1102" t="s">
        <v>689</v>
      </c>
      <c r="J362" s="1102" t="s">
        <v>1342</v>
      </c>
      <c r="M362" s="1102" t="s">
        <v>68</v>
      </c>
      <c r="N362" s="1102">
        <v>46090</v>
      </c>
      <c r="O362" s="1102" t="s">
        <v>284</v>
      </c>
      <c r="P362" s="1102" t="s">
        <v>1521</v>
      </c>
      <c r="Q362" s="1102" t="s">
        <v>1522</v>
      </c>
      <c r="R362" s="1102" t="s">
        <v>73</v>
      </c>
      <c r="S362" s="1102" t="s">
        <v>967</v>
      </c>
      <c r="T362" s="1102">
        <v>490</v>
      </c>
      <c r="U362" s="1102">
        <v>6048</v>
      </c>
      <c r="V362" s="1102">
        <v>2.9635199999999999</v>
      </c>
      <c r="W362" s="1102">
        <v>168</v>
      </c>
      <c r="X362" s="1102">
        <v>7</v>
      </c>
      <c r="Y362" s="1102" t="s">
        <v>75</v>
      </c>
      <c r="Z362" s="1102" t="s">
        <v>75</v>
      </c>
      <c r="AA362" s="1102" t="s">
        <v>1544</v>
      </c>
      <c r="AB362" s="1103">
        <v>46108</v>
      </c>
      <c r="AC362" s="1102">
        <v>13</v>
      </c>
      <c r="AD362" s="1102" t="s">
        <v>1776</v>
      </c>
      <c r="AF362" s="1102" t="s">
        <v>945</v>
      </c>
      <c r="AG362" s="1102" t="s">
        <v>123</v>
      </c>
      <c r="AH362" s="1102" t="s">
        <v>314</v>
      </c>
      <c r="AI362" s="1103">
        <v>46111</v>
      </c>
      <c r="AJ362" s="1103">
        <v>46114</v>
      </c>
      <c r="AK362" s="1103">
        <v>46114</v>
      </c>
      <c r="AL362" s="1103">
        <v>46155</v>
      </c>
      <c r="AM362" s="1103">
        <v>46159</v>
      </c>
      <c r="AN362" s="1103">
        <v>46162</v>
      </c>
      <c r="AO362" s="1102" t="s">
        <v>402</v>
      </c>
      <c r="AP362" s="1102" t="s">
        <v>1725</v>
      </c>
      <c r="AQ362" s="1102" t="s">
        <v>80</v>
      </c>
      <c r="AR362" s="1102" t="s">
        <v>1777</v>
      </c>
      <c r="AS362" s="1102" t="s">
        <v>1778</v>
      </c>
      <c r="AT362" s="1102" t="s">
        <v>1778</v>
      </c>
      <c r="AU362" s="1102">
        <v>48</v>
      </c>
      <c r="AW362" s="1103">
        <v>46162</v>
      </c>
      <c r="AX362" s="1102" t="s">
        <v>973</v>
      </c>
      <c r="AY362" s="1103">
        <v>46175</v>
      </c>
      <c r="AZ362" s="1102">
        <v>13</v>
      </c>
      <c r="BA362" s="1103">
        <v>46175</v>
      </c>
      <c r="BB362" s="1102">
        <v>2026</v>
      </c>
      <c r="BC362" s="1102">
        <v>6</v>
      </c>
      <c r="BD362" s="1102">
        <v>23</v>
      </c>
      <c r="BE362" s="1102">
        <v>36</v>
      </c>
      <c r="BF362" s="1102">
        <v>864</v>
      </c>
      <c r="BG362" s="1102" t="s">
        <v>85</v>
      </c>
      <c r="BH362" s="1102" t="s">
        <v>86</v>
      </c>
    </row>
    <row r="363" spans="1:60">
      <c r="A363" s="1102" t="s">
        <v>1779</v>
      </c>
      <c r="B363" s="1102" t="s">
        <v>1566</v>
      </c>
      <c r="C363" s="1102" t="s">
        <v>1583</v>
      </c>
      <c r="D363" s="1102" t="s">
        <v>63</v>
      </c>
      <c r="E363" s="1102" t="s">
        <v>64</v>
      </c>
      <c r="F363" s="1102" t="s">
        <v>100</v>
      </c>
      <c r="G363" s="1102" t="s">
        <v>402</v>
      </c>
      <c r="H363" s="1102" t="s">
        <v>67</v>
      </c>
      <c r="I363" s="1102" t="s">
        <v>689</v>
      </c>
      <c r="J363" s="1102" t="s">
        <v>1568</v>
      </c>
      <c r="M363" s="1102" t="s">
        <v>68</v>
      </c>
      <c r="N363" s="1102">
        <v>46097</v>
      </c>
      <c r="O363" s="1102" t="s">
        <v>284</v>
      </c>
      <c r="P363" s="1102" t="s">
        <v>1584</v>
      </c>
      <c r="Q363" s="1102" t="s">
        <v>1585</v>
      </c>
      <c r="R363" s="1102" t="s">
        <v>73</v>
      </c>
      <c r="S363" s="1102" t="s">
        <v>992</v>
      </c>
      <c r="T363" s="1102">
        <v>645</v>
      </c>
      <c r="U363" s="1102">
        <v>4320</v>
      </c>
      <c r="V363" s="1102">
        <v>2.7864</v>
      </c>
      <c r="W363" s="1102">
        <v>120</v>
      </c>
      <c r="X363" s="1102">
        <v>6</v>
      </c>
      <c r="Y363" s="1102" t="s">
        <v>75</v>
      </c>
      <c r="Z363" s="1102" t="s">
        <v>75</v>
      </c>
      <c r="AA363" s="1102" t="s">
        <v>1780</v>
      </c>
      <c r="AB363" s="1103">
        <v>46097</v>
      </c>
      <c r="AC363" s="1102">
        <v>12</v>
      </c>
      <c r="AD363" s="1102" t="s">
        <v>1781</v>
      </c>
      <c r="AF363" s="1102" t="s">
        <v>1525</v>
      </c>
      <c r="AG363" s="1102" t="s">
        <v>123</v>
      </c>
      <c r="AH363" s="1102" t="s">
        <v>105</v>
      </c>
      <c r="AI363" s="1103">
        <v>46103</v>
      </c>
      <c r="AJ363" s="1103">
        <v>46107</v>
      </c>
      <c r="AK363" s="1103">
        <v>46107</v>
      </c>
      <c r="AL363" s="1103">
        <v>46150</v>
      </c>
      <c r="AM363" s="1103">
        <v>46148</v>
      </c>
      <c r="AN363" s="1103">
        <v>46148</v>
      </c>
      <c r="AO363" s="1102" t="s">
        <v>402</v>
      </c>
      <c r="AP363" s="1102" t="s">
        <v>1782</v>
      </c>
      <c r="AQ363" s="1102" t="s">
        <v>161</v>
      </c>
      <c r="AR363" s="1102" t="s">
        <v>1783</v>
      </c>
      <c r="AS363" s="1102" t="s">
        <v>1784</v>
      </c>
      <c r="AT363" s="1102" t="s">
        <v>1784</v>
      </c>
      <c r="AU363" s="1102">
        <v>41</v>
      </c>
      <c r="AW363" s="1103">
        <v>46148</v>
      </c>
      <c r="AX363" s="1102" t="s">
        <v>973</v>
      </c>
      <c r="AY363" s="1103">
        <v>46163</v>
      </c>
      <c r="AZ363" s="1102">
        <v>7</v>
      </c>
      <c r="BA363" s="1103">
        <v>46155</v>
      </c>
      <c r="BB363" s="1102">
        <v>2026</v>
      </c>
      <c r="BC363" s="1102">
        <v>5</v>
      </c>
      <c r="BD363" s="1102">
        <v>20</v>
      </c>
      <c r="BE363" s="1102">
        <v>36</v>
      </c>
      <c r="BF363" s="1102">
        <v>720</v>
      </c>
      <c r="BG363" s="1102" t="s">
        <v>108</v>
      </c>
      <c r="BH363" s="1102" t="s">
        <v>109</v>
      </c>
    </row>
    <row r="364" spans="1:60">
      <c r="A364" s="1102" t="s">
        <v>1785</v>
      </c>
      <c r="B364" s="1102" t="s">
        <v>1566</v>
      </c>
      <c r="C364" s="1102" t="s">
        <v>1567</v>
      </c>
      <c r="D364" s="1102" t="s">
        <v>63</v>
      </c>
      <c r="E364" s="1102" t="s">
        <v>64</v>
      </c>
      <c r="F364" s="1102" t="s">
        <v>100</v>
      </c>
      <c r="G364" s="1102" t="s">
        <v>402</v>
      </c>
      <c r="H364" s="1102" t="s">
        <v>67</v>
      </c>
      <c r="I364" s="1102" t="s">
        <v>689</v>
      </c>
      <c r="J364" s="1102" t="s">
        <v>1568</v>
      </c>
      <c r="M364" s="1102" t="s">
        <v>68</v>
      </c>
      <c r="N364" s="1102">
        <v>46097</v>
      </c>
      <c r="O364" s="1102" t="s">
        <v>284</v>
      </c>
      <c r="P364" s="1102" t="s">
        <v>1569</v>
      </c>
      <c r="Q364" s="1102" t="s">
        <v>1570</v>
      </c>
      <c r="R364" s="1102" t="s">
        <v>73</v>
      </c>
      <c r="S364" s="1102" t="s">
        <v>992</v>
      </c>
      <c r="T364" s="1102">
        <v>650</v>
      </c>
      <c r="U364" s="1102">
        <v>2880</v>
      </c>
      <c r="V364" s="1102">
        <v>1.8720000000000001</v>
      </c>
      <c r="W364" s="1102">
        <v>80</v>
      </c>
      <c r="X364" s="1102">
        <v>4</v>
      </c>
      <c r="Y364" s="1102" t="s">
        <v>75</v>
      </c>
      <c r="Z364" s="1102" t="s">
        <v>75</v>
      </c>
      <c r="AB364" s="1103">
        <v>46097</v>
      </c>
      <c r="AC364" s="1102">
        <v>12</v>
      </c>
      <c r="AD364" s="1102" t="s">
        <v>1786</v>
      </c>
      <c r="AF364" s="1102" t="s">
        <v>1525</v>
      </c>
      <c r="AG364" s="1102" t="s">
        <v>123</v>
      </c>
      <c r="AH364" s="1102" t="s">
        <v>105</v>
      </c>
      <c r="AI364" s="1103">
        <v>46103</v>
      </c>
      <c r="AJ364" s="1103">
        <v>46107</v>
      </c>
      <c r="AK364" s="1103">
        <v>46107</v>
      </c>
      <c r="AL364" s="1103">
        <v>46150</v>
      </c>
      <c r="AM364" s="1103">
        <v>46148</v>
      </c>
      <c r="AN364" s="1103">
        <v>46148</v>
      </c>
      <c r="AO364" s="1102" t="s">
        <v>402</v>
      </c>
      <c r="AP364" s="1102" t="s">
        <v>1782</v>
      </c>
      <c r="AQ364" s="1102" t="s">
        <v>161</v>
      </c>
      <c r="AR364" s="1102" t="s">
        <v>1783</v>
      </c>
      <c r="AS364" s="1102" t="s">
        <v>1784</v>
      </c>
      <c r="AT364" s="1102" t="s">
        <v>1784</v>
      </c>
      <c r="AU364" s="1102">
        <v>41</v>
      </c>
      <c r="AW364" s="1103">
        <v>46148</v>
      </c>
      <c r="AX364" s="1102" t="s">
        <v>973</v>
      </c>
      <c r="AY364" s="1103">
        <v>46163</v>
      </c>
      <c r="AZ364" s="1102">
        <v>7</v>
      </c>
      <c r="BA364" s="1103">
        <v>46155</v>
      </c>
      <c r="BB364" s="1102">
        <v>2026</v>
      </c>
      <c r="BC364" s="1102">
        <v>5</v>
      </c>
      <c r="BD364" s="1102">
        <v>20</v>
      </c>
      <c r="BE364" s="1102">
        <v>36</v>
      </c>
      <c r="BF364" s="1102">
        <v>720</v>
      </c>
      <c r="BG364" s="1102" t="s">
        <v>108</v>
      </c>
      <c r="BH364" s="1102" t="s">
        <v>109</v>
      </c>
    </row>
    <row r="365" spans="1:60">
      <c r="A365" s="1102" t="s">
        <v>1787</v>
      </c>
      <c r="B365" s="1102" t="s">
        <v>1566</v>
      </c>
      <c r="C365" s="1102" t="s">
        <v>1583</v>
      </c>
      <c r="D365" s="1102" t="s">
        <v>63</v>
      </c>
      <c r="E365" s="1102" t="s">
        <v>64</v>
      </c>
      <c r="F365" s="1102" t="s">
        <v>100</v>
      </c>
      <c r="G365" s="1102" t="s">
        <v>402</v>
      </c>
      <c r="H365" s="1102" t="s">
        <v>67</v>
      </c>
      <c r="I365" s="1102" t="s">
        <v>689</v>
      </c>
      <c r="J365" s="1102" t="s">
        <v>1568</v>
      </c>
      <c r="M365" s="1102" t="s">
        <v>68</v>
      </c>
      <c r="N365" s="1102">
        <v>46097</v>
      </c>
      <c r="O365" s="1102" t="s">
        <v>284</v>
      </c>
      <c r="P365" s="1102" t="s">
        <v>1584</v>
      </c>
      <c r="Q365" s="1102" t="s">
        <v>1585</v>
      </c>
      <c r="R365" s="1102" t="s">
        <v>73</v>
      </c>
      <c r="S365" s="1102" t="s">
        <v>992</v>
      </c>
      <c r="T365" s="1102">
        <v>645</v>
      </c>
      <c r="U365" s="1102">
        <v>6480</v>
      </c>
      <c r="V365" s="1102">
        <v>4.1795999999999998</v>
      </c>
      <c r="W365" s="1102">
        <v>180</v>
      </c>
      <c r="X365" s="1102">
        <v>9</v>
      </c>
      <c r="Y365" s="1102" t="s">
        <v>75</v>
      </c>
      <c r="Z365" s="1102" t="s">
        <v>75</v>
      </c>
      <c r="AA365" s="1102" t="s">
        <v>1788</v>
      </c>
      <c r="AB365" s="1103">
        <v>46098</v>
      </c>
      <c r="AC365" s="1102">
        <v>12</v>
      </c>
      <c r="AD365" s="1102" t="s">
        <v>1789</v>
      </c>
      <c r="AF365" s="1102" t="s">
        <v>1525</v>
      </c>
      <c r="AG365" s="1102" t="s">
        <v>123</v>
      </c>
      <c r="AH365" s="1102" t="s">
        <v>105</v>
      </c>
      <c r="AI365" s="1103">
        <v>46103</v>
      </c>
      <c r="AJ365" s="1103">
        <v>46107</v>
      </c>
      <c r="AK365" s="1103">
        <v>46107</v>
      </c>
      <c r="AL365" s="1103">
        <v>46150</v>
      </c>
      <c r="AM365" s="1103">
        <v>46148</v>
      </c>
      <c r="AN365" s="1103">
        <v>46148</v>
      </c>
      <c r="AO365" s="1102" t="s">
        <v>402</v>
      </c>
      <c r="AP365" s="1102" t="s">
        <v>1782</v>
      </c>
      <c r="AQ365" s="1102" t="s">
        <v>161</v>
      </c>
      <c r="AR365" s="1102" t="s">
        <v>1790</v>
      </c>
      <c r="AS365" s="1102" t="s">
        <v>1791</v>
      </c>
      <c r="AT365" s="1102" t="s">
        <v>1792</v>
      </c>
      <c r="AU365" s="1102">
        <v>41</v>
      </c>
      <c r="AW365" s="1103">
        <v>46148</v>
      </c>
      <c r="AX365" s="1102" t="s">
        <v>973</v>
      </c>
      <c r="AY365" s="1103">
        <v>46155</v>
      </c>
      <c r="AZ365" s="1102">
        <v>7</v>
      </c>
      <c r="BA365" s="1103">
        <v>46155</v>
      </c>
      <c r="BB365" s="1102">
        <v>2026</v>
      </c>
      <c r="BC365" s="1102">
        <v>5</v>
      </c>
      <c r="BD365" s="1102">
        <v>20</v>
      </c>
      <c r="BE365" s="1102">
        <v>36</v>
      </c>
      <c r="BF365" s="1102">
        <v>720</v>
      </c>
      <c r="BG365" s="1102" t="s">
        <v>108</v>
      </c>
      <c r="BH365" s="1102" t="s">
        <v>109</v>
      </c>
    </row>
    <row r="366" spans="1:60">
      <c r="A366" s="1102" t="s">
        <v>1793</v>
      </c>
      <c r="B366" s="1102" t="s">
        <v>1566</v>
      </c>
      <c r="C366" s="1102" t="s">
        <v>1567</v>
      </c>
      <c r="D366" s="1102" t="s">
        <v>63</v>
      </c>
      <c r="E366" s="1102" t="s">
        <v>64</v>
      </c>
      <c r="F366" s="1102" t="s">
        <v>100</v>
      </c>
      <c r="G366" s="1102" t="s">
        <v>402</v>
      </c>
      <c r="H366" s="1102" t="s">
        <v>67</v>
      </c>
      <c r="I366" s="1102" t="s">
        <v>689</v>
      </c>
      <c r="J366" s="1102" t="s">
        <v>1568</v>
      </c>
      <c r="M366" s="1102" t="s">
        <v>68</v>
      </c>
      <c r="N366" s="1102">
        <v>46097</v>
      </c>
      <c r="O366" s="1102" t="s">
        <v>284</v>
      </c>
      <c r="P366" s="1102" t="s">
        <v>1569</v>
      </c>
      <c r="Q366" s="1102" t="s">
        <v>1570</v>
      </c>
      <c r="R366" s="1102" t="s">
        <v>73</v>
      </c>
      <c r="S366" s="1102" t="s">
        <v>992</v>
      </c>
      <c r="T366" s="1102">
        <v>650</v>
      </c>
      <c r="U366" s="1102">
        <v>2880</v>
      </c>
      <c r="V366" s="1102">
        <v>1.8720000000000001</v>
      </c>
      <c r="W366" s="1102">
        <v>80</v>
      </c>
      <c r="X366" s="1102">
        <v>4</v>
      </c>
      <c r="Y366" s="1102" t="s">
        <v>75</v>
      </c>
      <c r="Z366" s="1102" t="s">
        <v>75</v>
      </c>
      <c r="AA366" s="1102" t="s">
        <v>1794</v>
      </c>
      <c r="AB366" s="1103">
        <v>46099</v>
      </c>
      <c r="AC366" s="1102">
        <v>12</v>
      </c>
      <c r="AD366" s="1102" t="s">
        <v>1795</v>
      </c>
      <c r="AF366" s="1102" t="s">
        <v>1525</v>
      </c>
      <c r="AG366" s="1102" t="s">
        <v>123</v>
      </c>
      <c r="AH366" s="1102" t="s">
        <v>105</v>
      </c>
      <c r="AI366" s="1103">
        <v>46103</v>
      </c>
      <c r="AJ366" s="1103">
        <v>46107</v>
      </c>
      <c r="AK366" s="1103">
        <v>46107</v>
      </c>
      <c r="AL366" s="1103">
        <v>46150</v>
      </c>
      <c r="AM366" s="1103">
        <v>46148</v>
      </c>
      <c r="AN366" s="1103">
        <v>46148</v>
      </c>
      <c r="AO366" s="1102" t="s">
        <v>402</v>
      </c>
      <c r="AP366" s="1102" t="s">
        <v>1782</v>
      </c>
      <c r="AQ366" s="1102" t="s">
        <v>161</v>
      </c>
      <c r="AR366" s="1102" t="s">
        <v>1796</v>
      </c>
      <c r="AS366" s="1102" t="s">
        <v>1797</v>
      </c>
      <c r="AT366" s="1102" t="s">
        <v>1798</v>
      </c>
      <c r="AU366" s="1102">
        <v>41</v>
      </c>
      <c r="AW366" s="1103">
        <v>46148</v>
      </c>
      <c r="AX366" s="1102" t="s">
        <v>973</v>
      </c>
      <c r="AY366" s="1103">
        <v>46163</v>
      </c>
      <c r="AZ366" s="1102">
        <v>7</v>
      </c>
      <c r="BA366" s="1103">
        <v>46155</v>
      </c>
      <c r="BB366" s="1102">
        <v>2026</v>
      </c>
      <c r="BC366" s="1102">
        <v>5</v>
      </c>
      <c r="BD366" s="1102">
        <v>20</v>
      </c>
      <c r="BE366" s="1102">
        <v>36</v>
      </c>
      <c r="BF366" s="1102">
        <v>720</v>
      </c>
      <c r="BG366" s="1102" t="s">
        <v>108</v>
      </c>
      <c r="BH366" s="1102" t="s">
        <v>109</v>
      </c>
    </row>
    <row r="367" spans="1:60">
      <c r="A367" s="1102" t="s">
        <v>1799</v>
      </c>
      <c r="B367" s="1102" t="s">
        <v>1566</v>
      </c>
      <c r="C367" s="1102" t="s">
        <v>1583</v>
      </c>
      <c r="D367" s="1102" t="s">
        <v>63</v>
      </c>
      <c r="E367" s="1102" t="s">
        <v>64</v>
      </c>
      <c r="F367" s="1102" t="s">
        <v>100</v>
      </c>
      <c r="G367" s="1102" t="s">
        <v>402</v>
      </c>
      <c r="H367" s="1102" t="s">
        <v>67</v>
      </c>
      <c r="I367" s="1102" t="s">
        <v>689</v>
      </c>
      <c r="J367" s="1102" t="s">
        <v>1568</v>
      </c>
      <c r="M367" s="1102" t="s">
        <v>68</v>
      </c>
      <c r="N367" s="1102" t="s">
        <v>68</v>
      </c>
      <c r="O367" s="1102" t="s">
        <v>284</v>
      </c>
      <c r="P367" s="1102" t="s">
        <v>1584</v>
      </c>
      <c r="Q367" s="1102" t="s">
        <v>1585</v>
      </c>
      <c r="R367" s="1102" t="s">
        <v>73</v>
      </c>
      <c r="S367" s="1102" t="s">
        <v>992</v>
      </c>
      <c r="T367" s="1102">
        <v>645</v>
      </c>
      <c r="U367" s="1102">
        <v>3600</v>
      </c>
      <c r="V367" s="1102">
        <v>2.3220000000000001</v>
      </c>
      <c r="W367" s="1102">
        <v>100</v>
      </c>
      <c r="X367" s="1102">
        <v>5</v>
      </c>
      <c r="Y367" s="1102" t="s">
        <v>75</v>
      </c>
      <c r="Z367" s="1102" t="s">
        <v>75</v>
      </c>
      <c r="AB367" s="1103">
        <v>46099</v>
      </c>
      <c r="AC367" s="1102">
        <v>12</v>
      </c>
      <c r="AD367" s="1102" t="s">
        <v>1800</v>
      </c>
      <c r="AF367" s="1102" t="s">
        <v>1525</v>
      </c>
      <c r="AG367" s="1102" t="s">
        <v>123</v>
      </c>
      <c r="AH367" s="1102" t="s">
        <v>105</v>
      </c>
      <c r="AI367" s="1103">
        <v>46103</v>
      </c>
      <c r="AJ367" s="1103">
        <v>46107</v>
      </c>
      <c r="AK367" s="1103">
        <v>46107</v>
      </c>
      <c r="AL367" s="1103">
        <v>46150</v>
      </c>
      <c r="AM367" s="1103">
        <v>46148</v>
      </c>
      <c r="AN367" s="1103">
        <v>46148</v>
      </c>
      <c r="AO367" s="1102" t="s">
        <v>402</v>
      </c>
      <c r="AP367" s="1102" t="s">
        <v>1782</v>
      </c>
      <c r="AQ367" s="1102" t="s">
        <v>161</v>
      </c>
      <c r="AR367" s="1102" t="s">
        <v>1796</v>
      </c>
      <c r="AS367" s="1102" t="s">
        <v>1797</v>
      </c>
      <c r="AT367" s="1102" t="s">
        <v>1798</v>
      </c>
      <c r="AU367" s="1102">
        <v>41</v>
      </c>
      <c r="AW367" s="1103">
        <v>46148</v>
      </c>
      <c r="AX367" s="1102" t="s">
        <v>973</v>
      </c>
      <c r="AY367" s="1103">
        <v>46155</v>
      </c>
      <c r="AZ367" s="1102">
        <v>7</v>
      </c>
      <c r="BA367" s="1103">
        <v>46155</v>
      </c>
      <c r="BB367" s="1102">
        <v>2026</v>
      </c>
      <c r="BC367" s="1102">
        <v>5</v>
      </c>
      <c r="BD367" s="1102">
        <v>20</v>
      </c>
      <c r="BE367" s="1102">
        <v>36</v>
      </c>
      <c r="BF367" s="1102">
        <v>720</v>
      </c>
      <c r="BG367" s="1102" t="s">
        <v>108</v>
      </c>
      <c r="BH367" s="1102" t="s">
        <v>109</v>
      </c>
    </row>
    <row r="368" spans="1:60">
      <c r="A368" s="1102" t="s">
        <v>1801</v>
      </c>
      <c r="B368" s="1102" t="s">
        <v>1802</v>
      </c>
      <c r="C368" s="1102" t="s">
        <v>1803</v>
      </c>
      <c r="D368" s="1102" t="s">
        <v>113</v>
      </c>
      <c r="E368" s="1102" t="s">
        <v>144</v>
      </c>
      <c r="F368" s="1102" t="s">
        <v>145</v>
      </c>
      <c r="G368" s="1102" t="s">
        <v>402</v>
      </c>
      <c r="H368" s="1102" t="s">
        <v>1449</v>
      </c>
      <c r="I368" s="1102" t="s">
        <v>822</v>
      </c>
      <c r="J368" s="1102" t="s">
        <v>1804</v>
      </c>
      <c r="K368" s="1102" t="s">
        <v>1805</v>
      </c>
      <c r="M368" s="1102" t="s">
        <v>840</v>
      </c>
      <c r="N368" s="1102">
        <v>46097</v>
      </c>
      <c r="O368" s="1102" t="s">
        <v>70</v>
      </c>
      <c r="P368" s="1102" t="s">
        <v>1806</v>
      </c>
      <c r="Q368" s="1102" t="s">
        <v>1807</v>
      </c>
      <c r="R368" s="1102" t="s">
        <v>331</v>
      </c>
      <c r="S368" s="1102" t="s">
        <v>1808</v>
      </c>
      <c r="T368" s="1102">
        <v>720</v>
      </c>
      <c r="U368" s="1102">
        <v>3564</v>
      </c>
      <c r="V368" s="1102">
        <v>2.5660799999999999</v>
      </c>
      <c r="W368" s="1102">
        <v>108</v>
      </c>
      <c r="X368" s="1102">
        <v>6</v>
      </c>
      <c r="Y368" s="1102" t="s">
        <v>75</v>
      </c>
      <c r="Z368" s="1102" t="s">
        <v>75</v>
      </c>
      <c r="AA368" s="1102" t="s">
        <v>1809</v>
      </c>
      <c r="AB368" s="1103">
        <v>46097</v>
      </c>
      <c r="AC368" s="1102">
        <v>12</v>
      </c>
      <c r="AD368" s="1102" t="s">
        <v>1810</v>
      </c>
      <c r="AF368" s="1102" t="s">
        <v>1525</v>
      </c>
      <c r="AG368" s="1102" t="s">
        <v>123</v>
      </c>
      <c r="AH368" s="1102" t="s">
        <v>105</v>
      </c>
      <c r="AI368" s="1103">
        <v>46101</v>
      </c>
      <c r="AJ368" s="1103">
        <v>46101</v>
      </c>
      <c r="AK368" s="1103">
        <v>46101</v>
      </c>
      <c r="AL368" s="1103">
        <v>46139</v>
      </c>
      <c r="AM368" s="1103">
        <v>46143</v>
      </c>
      <c r="AN368" s="1103">
        <v>46143</v>
      </c>
      <c r="AO368" s="1102" t="s">
        <v>402</v>
      </c>
      <c r="AP368" s="1102" t="s">
        <v>1811</v>
      </c>
      <c r="AQ368" s="1102" t="s">
        <v>161</v>
      </c>
      <c r="AR368" s="1102" t="s">
        <v>1812</v>
      </c>
      <c r="AS368" s="1102">
        <v>285716532</v>
      </c>
      <c r="AT368" s="1102">
        <v>285716532</v>
      </c>
      <c r="AU368" s="1102">
        <v>42</v>
      </c>
      <c r="AW368" s="1103">
        <v>46143</v>
      </c>
      <c r="AX368" s="1102" t="s">
        <v>973</v>
      </c>
      <c r="AY368" s="1103">
        <v>46152</v>
      </c>
      <c r="AZ368" s="1102">
        <v>0</v>
      </c>
      <c r="BA368" s="1103">
        <v>46143</v>
      </c>
      <c r="BB368" s="1102">
        <v>2026</v>
      </c>
      <c r="BC368" s="1102">
        <v>5</v>
      </c>
      <c r="BD368" s="1102">
        <v>18</v>
      </c>
      <c r="BE368" s="1102">
        <v>33</v>
      </c>
      <c r="BF368" s="1102">
        <v>594</v>
      </c>
      <c r="BG368" s="1102" t="s">
        <v>94</v>
      </c>
      <c r="BH368" s="1102" t="s">
        <v>109</v>
      </c>
    </row>
    <row r="369" spans="1:60">
      <c r="A369" s="1102" t="s">
        <v>1813</v>
      </c>
      <c r="B369" s="1102" t="s">
        <v>1802</v>
      </c>
      <c r="C369" s="1102" t="s">
        <v>1803</v>
      </c>
      <c r="D369" s="1102" t="s">
        <v>113</v>
      </c>
      <c r="E369" s="1102" t="s">
        <v>144</v>
      </c>
      <c r="F369" s="1102" t="s">
        <v>145</v>
      </c>
      <c r="G369" s="1102" t="s">
        <v>402</v>
      </c>
      <c r="H369" s="1102" t="s">
        <v>1449</v>
      </c>
      <c r="I369" s="1102" t="s">
        <v>822</v>
      </c>
      <c r="J369" s="1102" t="s">
        <v>1814</v>
      </c>
      <c r="K369" s="1102" t="s">
        <v>1805</v>
      </c>
      <c r="M369" s="1102" t="s">
        <v>840</v>
      </c>
      <c r="N369" s="1102">
        <v>46097</v>
      </c>
      <c r="O369" s="1102" t="s">
        <v>70</v>
      </c>
      <c r="P369" s="1102" t="s">
        <v>1806</v>
      </c>
      <c r="Q369" s="1102" t="s">
        <v>1807</v>
      </c>
      <c r="R369" s="1102" t="s">
        <v>331</v>
      </c>
      <c r="S369" s="1102" t="s">
        <v>1808</v>
      </c>
      <c r="T369" s="1102">
        <v>720</v>
      </c>
      <c r="U369" s="1102">
        <v>4158</v>
      </c>
      <c r="V369" s="1102">
        <v>2.99376</v>
      </c>
      <c r="W369" s="1102">
        <v>126</v>
      </c>
      <c r="X369" s="1102">
        <v>7</v>
      </c>
      <c r="Y369" s="1102" t="s">
        <v>75</v>
      </c>
      <c r="Z369" s="1102" t="s">
        <v>75</v>
      </c>
      <c r="AA369" s="1102" t="s">
        <v>1809</v>
      </c>
      <c r="AB369" s="1103">
        <v>46096</v>
      </c>
      <c r="AC369" s="1102">
        <v>11</v>
      </c>
      <c r="AD369" s="1102" t="s">
        <v>1815</v>
      </c>
      <c r="AF369" s="1102" t="s">
        <v>1525</v>
      </c>
      <c r="AG369" s="1102" t="s">
        <v>123</v>
      </c>
      <c r="AH369" s="1102" t="s">
        <v>105</v>
      </c>
      <c r="AI369" s="1103">
        <v>46101</v>
      </c>
      <c r="AJ369" s="1103">
        <v>46101</v>
      </c>
      <c r="AK369" s="1103">
        <v>46101</v>
      </c>
      <c r="AL369" s="1103">
        <v>46139</v>
      </c>
      <c r="AM369" s="1103">
        <v>46143</v>
      </c>
      <c r="AN369" s="1103">
        <v>46143</v>
      </c>
      <c r="AO369" s="1102" t="s">
        <v>402</v>
      </c>
      <c r="AP369" s="1102" t="s">
        <v>1811</v>
      </c>
      <c r="AQ369" s="1102" t="s">
        <v>161</v>
      </c>
      <c r="AR369" s="1102" t="s">
        <v>1812</v>
      </c>
      <c r="AS369" s="1102">
        <v>285716532</v>
      </c>
      <c r="AT369" s="1102">
        <v>285716532</v>
      </c>
      <c r="AU369" s="1102">
        <v>42</v>
      </c>
      <c r="AW369" s="1103">
        <v>46143</v>
      </c>
      <c r="AX369" s="1102" t="s">
        <v>973</v>
      </c>
      <c r="AY369" s="1103">
        <v>46152</v>
      </c>
      <c r="AZ369" s="1102">
        <v>0</v>
      </c>
      <c r="BA369" s="1103">
        <v>46143</v>
      </c>
      <c r="BB369" s="1102">
        <v>2026</v>
      </c>
      <c r="BC369" s="1102">
        <v>5</v>
      </c>
      <c r="BD369" s="1102">
        <v>18</v>
      </c>
      <c r="BE369" s="1102">
        <v>33</v>
      </c>
      <c r="BF369" s="1102">
        <v>594</v>
      </c>
      <c r="BG369" s="1102" t="s">
        <v>94</v>
      </c>
      <c r="BH369" s="1102" t="s">
        <v>109</v>
      </c>
    </row>
    <row r="370" spans="1:60">
      <c r="A370" s="1102" t="s">
        <v>1816</v>
      </c>
      <c r="B370" s="1102" t="s">
        <v>1802</v>
      </c>
      <c r="C370" s="1102" t="s">
        <v>1803</v>
      </c>
      <c r="D370" s="1102" t="s">
        <v>113</v>
      </c>
      <c r="E370" s="1102" t="s">
        <v>144</v>
      </c>
      <c r="F370" s="1102" t="s">
        <v>145</v>
      </c>
      <c r="G370" s="1102" t="s">
        <v>402</v>
      </c>
      <c r="H370" s="1102" t="s">
        <v>1449</v>
      </c>
      <c r="I370" s="1102" t="s">
        <v>822</v>
      </c>
      <c r="J370" s="1102" t="s">
        <v>1817</v>
      </c>
      <c r="K370" s="1102" t="s">
        <v>1805</v>
      </c>
      <c r="M370" s="1102" t="s">
        <v>840</v>
      </c>
      <c r="N370" s="1102">
        <v>46097</v>
      </c>
      <c r="O370" s="1102" t="s">
        <v>70</v>
      </c>
      <c r="P370" s="1102" t="s">
        <v>1806</v>
      </c>
      <c r="Q370" s="1102" t="s">
        <v>1807</v>
      </c>
      <c r="R370" s="1102" t="s">
        <v>331</v>
      </c>
      <c r="S370" s="1102" t="s">
        <v>1808</v>
      </c>
      <c r="T370" s="1102">
        <v>720</v>
      </c>
      <c r="U370" s="1102">
        <v>5940</v>
      </c>
      <c r="V370" s="1102">
        <v>4.2767999999999997</v>
      </c>
      <c r="W370" s="1102">
        <v>180</v>
      </c>
      <c r="X370" s="1102">
        <v>10</v>
      </c>
      <c r="Y370" s="1102" t="s">
        <v>75</v>
      </c>
      <c r="Z370" s="1102" t="s">
        <v>75</v>
      </c>
      <c r="AA370" s="1102" t="s">
        <v>1809</v>
      </c>
      <c r="AB370" s="1103">
        <v>46101</v>
      </c>
      <c r="AC370" s="1102">
        <v>12</v>
      </c>
      <c r="AD370" s="1102" t="s">
        <v>1818</v>
      </c>
      <c r="AF370" s="1102" t="s">
        <v>122</v>
      </c>
      <c r="AG370" s="1102" t="s">
        <v>123</v>
      </c>
      <c r="AH370" s="1102" t="s">
        <v>105</v>
      </c>
      <c r="AI370" s="1103">
        <v>46105</v>
      </c>
      <c r="AJ370" s="1103">
        <v>46115</v>
      </c>
      <c r="AK370" s="1103">
        <v>46111</v>
      </c>
      <c r="AL370" s="1103">
        <v>46147</v>
      </c>
      <c r="AM370" s="1103">
        <v>46166</v>
      </c>
      <c r="AN370" s="1103">
        <v>46167</v>
      </c>
      <c r="AO370" s="1102" t="s">
        <v>402</v>
      </c>
      <c r="AP370" s="1102" t="s">
        <v>1819</v>
      </c>
      <c r="AQ370" s="1102" t="s">
        <v>161</v>
      </c>
      <c r="AR370" s="1102" t="s">
        <v>1820</v>
      </c>
      <c r="AS370" s="1102" t="s">
        <v>1821</v>
      </c>
      <c r="AT370" s="1102" t="s">
        <v>1821</v>
      </c>
      <c r="AU370" s="1102">
        <v>56</v>
      </c>
      <c r="AW370" s="1103">
        <v>46167</v>
      </c>
      <c r="AX370" s="1102" t="s">
        <v>973</v>
      </c>
      <c r="AY370" s="1103">
        <v>46160</v>
      </c>
      <c r="AZ370" s="1102">
        <v>0</v>
      </c>
      <c r="BA370" s="1103">
        <v>46167</v>
      </c>
      <c r="BB370" s="1102">
        <v>2026</v>
      </c>
      <c r="BC370" s="1102">
        <v>5</v>
      </c>
      <c r="BD370" s="1102">
        <v>22</v>
      </c>
      <c r="BE370" s="1102">
        <v>33</v>
      </c>
      <c r="BF370" s="1102">
        <v>594</v>
      </c>
      <c r="BG370" s="1102" t="s">
        <v>94</v>
      </c>
      <c r="BH370" s="1102" t="s">
        <v>109</v>
      </c>
    </row>
    <row r="371" spans="1:60">
      <c r="A371" s="1102" t="s">
        <v>1822</v>
      </c>
      <c r="B371" s="1102" t="s">
        <v>1802</v>
      </c>
      <c r="C371" s="1102" t="s">
        <v>1803</v>
      </c>
      <c r="D371" s="1102" t="s">
        <v>113</v>
      </c>
      <c r="E371" s="1102" t="s">
        <v>144</v>
      </c>
      <c r="F371" s="1102" t="s">
        <v>145</v>
      </c>
      <c r="G371" s="1102" t="s">
        <v>402</v>
      </c>
      <c r="H371" s="1102" t="s">
        <v>1449</v>
      </c>
      <c r="I371" s="1102" t="s">
        <v>822</v>
      </c>
      <c r="J371" s="1102" t="s">
        <v>1823</v>
      </c>
      <c r="K371" s="1102" t="s">
        <v>1805</v>
      </c>
      <c r="M371" s="1102" t="s">
        <v>840</v>
      </c>
      <c r="N371" s="1102">
        <v>46097</v>
      </c>
      <c r="O371" s="1102" t="s">
        <v>70</v>
      </c>
      <c r="P371" s="1102" t="s">
        <v>1806</v>
      </c>
      <c r="Q371" s="1102" t="s">
        <v>1807</v>
      </c>
      <c r="R371" s="1102" t="s">
        <v>331</v>
      </c>
      <c r="S371" s="1102" t="s">
        <v>1808</v>
      </c>
      <c r="T371" s="1102">
        <v>720</v>
      </c>
      <c r="U371" s="1102">
        <v>5346</v>
      </c>
      <c r="V371" s="1102">
        <v>3.8491200000000001</v>
      </c>
      <c r="W371" s="1102">
        <v>162</v>
      </c>
      <c r="X371" s="1102">
        <v>9</v>
      </c>
      <c r="Y371" s="1102" t="s">
        <v>75</v>
      </c>
      <c r="Z371" s="1102" t="s">
        <v>75</v>
      </c>
      <c r="AA371" s="1102" t="s">
        <v>1809</v>
      </c>
      <c r="AB371" s="1103">
        <v>46100</v>
      </c>
      <c r="AC371" s="1102">
        <v>12</v>
      </c>
      <c r="AD371" s="1102" t="s">
        <v>1824</v>
      </c>
      <c r="AF371" s="1102" t="s">
        <v>122</v>
      </c>
      <c r="AG371" s="1102" t="s">
        <v>123</v>
      </c>
      <c r="AH371" s="1102" t="s">
        <v>105</v>
      </c>
      <c r="AI371" s="1103">
        <v>46105</v>
      </c>
      <c r="AJ371" s="1103">
        <v>46115</v>
      </c>
      <c r="AK371" s="1103">
        <v>46111</v>
      </c>
      <c r="AL371" s="1103">
        <v>46147</v>
      </c>
      <c r="AM371" s="1103">
        <v>46166</v>
      </c>
      <c r="AN371" s="1103">
        <v>46167</v>
      </c>
      <c r="AO371" s="1102" t="s">
        <v>402</v>
      </c>
      <c r="AP371" s="1102" t="s">
        <v>1819</v>
      </c>
      <c r="AQ371" s="1102" t="s">
        <v>161</v>
      </c>
      <c r="AR371" s="1102" t="s">
        <v>1820</v>
      </c>
      <c r="AS371" s="1102" t="s">
        <v>1821</v>
      </c>
      <c r="AT371" s="1102" t="s">
        <v>1821</v>
      </c>
      <c r="AU371" s="1102">
        <v>56</v>
      </c>
      <c r="AW371" s="1103">
        <v>46167</v>
      </c>
      <c r="AX371" s="1102" t="s">
        <v>973</v>
      </c>
      <c r="AY371" s="1103">
        <v>46160</v>
      </c>
      <c r="AZ371" s="1102">
        <v>0</v>
      </c>
      <c r="BA371" s="1103">
        <v>46167</v>
      </c>
      <c r="BB371" s="1102">
        <v>2026</v>
      </c>
      <c r="BC371" s="1102">
        <v>5</v>
      </c>
      <c r="BD371" s="1102">
        <v>22</v>
      </c>
      <c r="BE371" s="1102">
        <v>33</v>
      </c>
      <c r="BF371" s="1102">
        <v>594</v>
      </c>
      <c r="BG371" s="1102" t="s">
        <v>94</v>
      </c>
      <c r="BH371" s="1102" t="s">
        <v>109</v>
      </c>
    </row>
    <row r="372" spans="1:60">
      <c r="A372" s="1102" t="s">
        <v>1825</v>
      </c>
      <c r="B372" s="1102" t="s">
        <v>1802</v>
      </c>
      <c r="C372" s="1102" t="s">
        <v>1803</v>
      </c>
      <c r="D372" s="1102" t="s">
        <v>113</v>
      </c>
      <c r="E372" s="1102" t="s">
        <v>144</v>
      </c>
      <c r="F372" s="1102" t="s">
        <v>145</v>
      </c>
      <c r="G372" s="1102" t="s">
        <v>402</v>
      </c>
      <c r="H372" s="1102" t="s">
        <v>1449</v>
      </c>
      <c r="I372" s="1102" t="s">
        <v>822</v>
      </c>
      <c r="J372" s="1102" t="s">
        <v>1826</v>
      </c>
      <c r="K372" s="1102" t="s">
        <v>1805</v>
      </c>
      <c r="M372" s="1102" t="s">
        <v>840</v>
      </c>
      <c r="N372" s="1102">
        <v>46097</v>
      </c>
      <c r="O372" s="1102" t="s">
        <v>70</v>
      </c>
      <c r="P372" s="1102" t="s">
        <v>1806</v>
      </c>
      <c r="Q372" s="1102" t="s">
        <v>1807</v>
      </c>
      <c r="R372" s="1102" t="s">
        <v>331</v>
      </c>
      <c r="S372" s="1102" t="s">
        <v>1808</v>
      </c>
      <c r="T372" s="1102">
        <v>720</v>
      </c>
      <c r="U372" s="1102">
        <v>4752</v>
      </c>
      <c r="V372" s="1102">
        <v>3.42144</v>
      </c>
      <c r="W372" s="1102">
        <v>144</v>
      </c>
      <c r="X372" s="1102">
        <v>8</v>
      </c>
      <c r="Y372" s="1102" t="s">
        <v>75</v>
      </c>
      <c r="Z372" s="1102" t="s">
        <v>75</v>
      </c>
      <c r="AA372" s="1102" t="s">
        <v>1809</v>
      </c>
      <c r="AB372" s="1103">
        <v>46099</v>
      </c>
      <c r="AC372" s="1102">
        <v>12</v>
      </c>
      <c r="AD372" s="1102" t="s">
        <v>1827</v>
      </c>
      <c r="AF372" s="1102" t="s">
        <v>1525</v>
      </c>
      <c r="AG372" s="1102" t="s">
        <v>123</v>
      </c>
      <c r="AH372" s="1102" t="s">
        <v>105</v>
      </c>
      <c r="AI372" s="1103">
        <v>46105</v>
      </c>
      <c r="AJ372" s="1103">
        <v>46107</v>
      </c>
      <c r="AK372" s="1103">
        <v>46107</v>
      </c>
      <c r="AL372" s="1103">
        <v>46150</v>
      </c>
      <c r="AM372" s="1103">
        <v>46148</v>
      </c>
      <c r="AN372" s="1103">
        <v>46148</v>
      </c>
      <c r="AO372" s="1102" t="s">
        <v>402</v>
      </c>
      <c r="AP372" s="1102" t="s">
        <v>1782</v>
      </c>
      <c r="AQ372" s="1102" t="s">
        <v>161</v>
      </c>
      <c r="AR372" s="1102" t="s">
        <v>1828</v>
      </c>
      <c r="AS372" s="1102" t="s">
        <v>1829</v>
      </c>
      <c r="AT372" s="1102" t="s">
        <v>1830</v>
      </c>
      <c r="AU372" s="1102">
        <v>41</v>
      </c>
      <c r="AW372" s="1103">
        <v>46148</v>
      </c>
      <c r="AX372" s="1102" t="s">
        <v>973</v>
      </c>
      <c r="AY372" s="1103">
        <v>46163</v>
      </c>
      <c r="AZ372" s="1102">
        <v>0</v>
      </c>
      <c r="BA372" s="1103">
        <v>46148</v>
      </c>
      <c r="BB372" s="1102">
        <v>2026</v>
      </c>
      <c r="BC372" s="1102">
        <v>5</v>
      </c>
      <c r="BD372" s="1102">
        <v>19</v>
      </c>
      <c r="BE372" s="1102">
        <v>33</v>
      </c>
      <c r="BF372" s="1102">
        <v>594</v>
      </c>
      <c r="BG372" s="1102" t="s">
        <v>94</v>
      </c>
      <c r="BH372" s="1102" t="s">
        <v>109</v>
      </c>
    </row>
    <row r="373" spans="1:60">
      <c r="A373" s="1102" t="s">
        <v>1831</v>
      </c>
      <c r="B373" s="1102" t="s">
        <v>61</v>
      </c>
      <c r="C373" s="1102" t="s">
        <v>1286</v>
      </c>
      <c r="D373" s="1102" t="s">
        <v>63</v>
      </c>
      <c r="E373" s="1102" t="s">
        <v>64</v>
      </c>
      <c r="F373" s="1102" t="s">
        <v>450</v>
      </c>
      <c r="G373" s="1102" t="s">
        <v>402</v>
      </c>
      <c r="H373" s="1102" t="s">
        <v>451</v>
      </c>
      <c r="I373" s="1102" t="s">
        <v>689</v>
      </c>
      <c r="J373" s="1102" t="s">
        <v>1832</v>
      </c>
      <c r="M373" s="1102" t="s">
        <v>68</v>
      </c>
      <c r="N373" s="1102">
        <v>46097</v>
      </c>
      <c r="O373" s="1102" t="s">
        <v>70</v>
      </c>
      <c r="P373" s="1102" t="s">
        <v>1151</v>
      </c>
      <c r="Q373" s="1102" t="s">
        <v>421</v>
      </c>
      <c r="R373" s="1102" t="s">
        <v>73</v>
      </c>
      <c r="S373" s="1102" t="s">
        <v>967</v>
      </c>
      <c r="T373" s="1102">
        <v>505</v>
      </c>
      <c r="U373" s="1102">
        <v>1728</v>
      </c>
      <c r="V373" s="1102">
        <v>0.87263999999999997</v>
      </c>
      <c r="W373" s="1102">
        <v>48</v>
      </c>
      <c r="X373" s="1102">
        <v>2</v>
      </c>
      <c r="Y373" s="1102" t="s">
        <v>75</v>
      </c>
      <c r="Z373" s="1102" t="s">
        <v>75</v>
      </c>
      <c r="AA373" s="1102" t="s">
        <v>1456</v>
      </c>
      <c r="AB373" s="1103">
        <v>46096</v>
      </c>
      <c r="AC373" s="1102">
        <v>11</v>
      </c>
      <c r="AD373" s="1102" t="s">
        <v>1833</v>
      </c>
      <c r="AF373" s="1102" t="s">
        <v>77</v>
      </c>
      <c r="AG373" s="1102" t="s">
        <v>61</v>
      </c>
      <c r="AH373" s="1102" t="s">
        <v>456</v>
      </c>
      <c r="AI373" s="1103">
        <v>46102</v>
      </c>
      <c r="AJ373" s="1103">
        <v>46101</v>
      </c>
      <c r="AK373" s="1103">
        <v>46101</v>
      </c>
      <c r="AL373" s="1103">
        <v>46152</v>
      </c>
      <c r="AM373" s="1103">
        <v>46154</v>
      </c>
      <c r="AN373" s="1103">
        <v>46155</v>
      </c>
      <c r="AO373" s="1102" t="s">
        <v>402</v>
      </c>
      <c r="AP373" s="1102" t="s">
        <v>1834</v>
      </c>
      <c r="AQ373" s="1102" t="s">
        <v>161</v>
      </c>
      <c r="AR373" s="1102" t="s">
        <v>1835</v>
      </c>
      <c r="AS373" s="1102" t="s">
        <v>1836</v>
      </c>
      <c r="AT373" s="1102" t="s">
        <v>1836</v>
      </c>
      <c r="AU373" s="1102">
        <v>54</v>
      </c>
      <c r="AW373" s="1103">
        <v>46155</v>
      </c>
      <c r="AX373" s="1102" t="s">
        <v>973</v>
      </c>
      <c r="AY373" s="1103">
        <v>46166</v>
      </c>
      <c r="AZ373" s="1102">
        <v>7</v>
      </c>
      <c r="BA373" s="1103">
        <v>46162</v>
      </c>
      <c r="BB373" s="1102">
        <v>2026</v>
      </c>
      <c r="BC373" s="1102">
        <v>5</v>
      </c>
      <c r="BD373" s="1102">
        <v>21</v>
      </c>
      <c r="BE373" s="1102">
        <v>36</v>
      </c>
      <c r="BF373" s="1102">
        <v>864</v>
      </c>
      <c r="BG373" s="1102" t="s">
        <v>85</v>
      </c>
      <c r="BH373" s="1102" t="s">
        <v>109</v>
      </c>
    </row>
    <row r="374" spans="1:60">
      <c r="A374" s="1102" t="s">
        <v>1837</v>
      </c>
      <c r="B374" s="1102" t="s">
        <v>61</v>
      </c>
      <c r="C374" s="1102" t="s">
        <v>1838</v>
      </c>
      <c r="D374" s="1102" t="s">
        <v>63</v>
      </c>
      <c r="E374" s="1102" t="s">
        <v>64</v>
      </c>
      <c r="F374" s="1102" t="s">
        <v>65</v>
      </c>
      <c r="G374" s="1102" t="s">
        <v>402</v>
      </c>
      <c r="H374" s="1102" t="s">
        <v>67</v>
      </c>
      <c r="I374" s="1102" t="s">
        <v>869</v>
      </c>
      <c r="J374" s="1102" t="s">
        <v>690</v>
      </c>
      <c r="M374" s="1102" t="s">
        <v>68</v>
      </c>
      <c r="N374" s="1102">
        <v>46104</v>
      </c>
      <c r="O374" s="1102" t="s">
        <v>70</v>
      </c>
      <c r="P374" s="1102" t="s">
        <v>204</v>
      </c>
      <c r="Q374" s="1102" t="s">
        <v>205</v>
      </c>
      <c r="R374" s="1102" t="s">
        <v>73</v>
      </c>
      <c r="S374" s="1102" t="s">
        <v>967</v>
      </c>
      <c r="T374" s="1102">
        <v>455</v>
      </c>
      <c r="U374" s="1102">
        <v>936</v>
      </c>
      <c r="V374" s="1102">
        <v>0.42587999999999998</v>
      </c>
      <c r="W374" s="1102">
        <v>26</v>
      </c>
      <c r="X374" s="1102">
        <v>1</v>
      </c>
      <c r="Y374" s="1102" t="s">
        <v>75</v>
      </c>
      <c r="Z374" s="1102" t="s">
        <v>75</v>
      </c>
      <c r="AA374" s="1102" t="s">
        <v>1839</v>
      </c>
      <c r="AB374" s="1103">
        <v>46098</v>
      </c>
      <c r="AC374" s="1102">
        <v>12</v>
      </c>
      <c r="AD374" s="1102" t="s">
        <v>1840</v>
      </c>
      <c r="AF374" s="1102" t="s">
        <v>77</v>
      </c>
      <c r="AG374" s="1102" t="s">
        <v>61</v>
      </c>
      <c r="AH374" s="1102" t="s">
        <v>356</v>
      </c>
      <c r="AI374" s="1103">
        <v>46103</v>
      </c>
      <c r="AJ374" s="1103">
        <v>46103</v>
      </c>
      <c r="AK374" s="1103">
        <v>46103</v>
      </c>
      <c r="AL374" s="1103">
        <v>46154</v>
      </c>
      <c r="AM374" s="1103">
        <v>46161</v>
      </c>
      <c r="AN374" s="1103">
        <v>46162</v>
      </c>
      <c r="AO374" s="1102" t="s">
        <v>402</v>
      </c>
      <c r="AP374" s="1102" t="s">
        <v>937</v>
      </c>
      <c r="AQ374" s="1102" t="s">
        <v>80</v>
      </c>
      <c r="AR374" s="1102" t="s">
        <v>1841</v>
      </c>
      <c r="AS374" s="1102" t="s">
        <v>1842</v>
      </c>
      <c r="AT374" s="1102" t="s">
        <v>1842</v>
      </c>
      <c r="AU374" s="1102">
        <v>59</v>
      </c>
      <c r="AW374" s="1103">
        <v>46162</v>
      </c>
      <c r="AX374" s="1102" t="s">
        <v>973</v>
      </c>
      <c r="AY374" s="1103">
        <v>46175</v>
      </c>
      <c r="AZ374" s="1102">
        <v>8</v>
      </c>
      <c r="BA374" s="1103">
        <v>46170</v>
      </c>
      <c r="BB374" s="1102">
        <v>2026</v>
      </c>
      <c r="BC374" s="1102">
        <v>5</v>
      </c>
      <c r="BD374" s="1102">
        <v>22</v>
      </c>
      <c r="BE374" s="1102">
        <v>36</v>
      </c>
      <c r="BF374" s="1102">
        <v>936</v>
      </c>
      <c r="BG374" s="1102" t="s">
        <v>94</v>
      </c>
      <c r="BH374" s="1102" t="s">
        <v>109</v>
      </c>
    </row>
    <row r="375" spans="1:60">
      <c r="A375" s="1102" t="s">
        <v>1843</v>
      </c>
      <c r="B375" s="1102" t="s">
        <v>61</v>
      </c>
      <c r="C375" s="1102" t="s">
        <v>1838</v>
      </c>
      <c r="D375" s="1102" t="s">
        <v>63</v>
      </c>
      <c r="E375" s="1102" t="s">
        <v>64</v>
      </c>
      <c r="F375" s="1102" t="s">
        <v>65</v>
      </c>
      <c r="G375" s="1102" t="s">
        <v>402</v>
      </c>
      <c r="H375" s="1102" t="s">
        <v>67</v>
      </c>
      <c r="I375" s="1102" t="s">
        <v>869</v>
      </c>
      <c r="J375" s="1102" t="s">
        <v>96</v>
      </c>
      <c r="M375" s="1102" t="s">
        <v>68</v>
      </c>
      <c r="N375" s="1102">
        <v>46104</v>
      </c>
      <c r="O375" s="1102" t="s">
        <v>70</v>
      </c>
      <c r="P375" s="1102" t="s">
        <v>204</v>
      </c>
      <c r="Q375" s="1102" t="s">
        <v>205</v>
      </c>
      <c r="R375" s="1102" t="s">
        <v>73</v>
      </c>
      <c r="S375" s="1102" t="s">
        <v>967</v>
      </c>
      <c r="T375" s="1102">
        <v>455</v>
      </c>
      <c r="U375" s="1102">
        <v>1872</v>
      </c>
      <c r="V375" s="1102">
        <v>0.85175999999999996</v>
      </c>
      <c r="W375" s="1102">
        <v>52</v>
      </c>
      <c r="X375" s="1102">
        <v>2</v>
      </c>
      <c r="Y375" s="1102" t="s">
        <v>951</v>
      </c>
      <c r="Z375" s="1102" t="s">
        <v>75</v>
      </c>
      <c r="AA375" s="1102" t="s">
        <v>1839</v>
      </c>
      <c r="AB375" s="1103">
        <v>46098</v>
      </c>
      <c r="AC375" s="1102">
        <v>12</v>
      </c>
      <c r="AD375" s="1102" t="s">
        <v>1844</v>
      </c>
      <c r="AF375" s="1102" t="s">
        <v>77</v>
      </c>
      <c r="AG375" s="1102" t="s">
        <v>61</v>
      </c>
      <c r="AH375" s="1102" t="s">
        <v>78</v>
      </c>
      <c r="AI375" s="1103">
        <v>46103</v>
      </c>
      <c r="AJ375" s="1103">
        <v>46103</v>
      </c>
      <c r="AK375" s="1103">
        <v>46103</v>
      </c>
      <c r="AL375" s="1103">
        <v>46161</v>
      </c>
      <c r="AM375" s="1103">
        <v>46182</v>
      </c>
      <c r="AN375" s="1103">
        <v>46183</v>
      </c>
      <c r="AO375" s="1102" t="s">
        <v>402</v>
      </c>
      <c r="AP375" s="1102" t="s">
        <v>937</v>
      </c>
      <c r="AQ375" s="1102" t="s">
        <v>80</v>
      </c>
      <c r="AR375" s="1102" t="s">
        <v>1845</v>
      </c>
      <c r="AS375" s="1102" t="s">
        <v>1846</v>
      </c>
      <c r="AT375" s="1102" t="s">
        <v>1846</v>
      </c>
      <c r="AU375" s="1102">
        <v>80</v>
      </c>
      <c r="AW375" s="1103">
        <v>46183</v>
      </c>
      <c r="AX375" s="1102" t="s">
        <v>973</v>
      </c>
      <c r="AY375" s="1103">
        <v>46194</v>
      </c>
      <c r="AZ375" s="1102">
        <v>8</v>
      </c>
      <c r="BA375" s="1103">
        <v>46191</v>
      </c>
      <c r="BB375" s="1102">
        <v>2026</v>
      </c>
      <c r="BC375" s="1102">
        <v>6</v>
      </c>
      <c r="BD375" s="1102">
        <v>25</v>
      </c>
      <c r="BE375" s="1102">
        <v>36</v>
      </c>
      <c r="BF375" s="1102">
        <v>936</v>
      </c>
      <c r="BG375" s="1102" t="s">
        <v>94</v>
      </c>
      <c r="BH375" s="1102" t="s">
        <v>86</v>
      </c>
    </row>
    <row r="376" spans="1:60">
      <c r="A376" s="1102" t="s">
        <v>1847</v>
      </c>
      <c r="B376" s="1102" t="s">
        <v>61</v>
      </c>
      <c r="C376" s="1102" t="s">
        <v>1838</v>
      </c>
      <c r="D376" s="1102" t="s">
        <v>63</v>
      </c>
      <c r="E376" s="1102" t="s">
        <v>64</v>
      </c>
      <c r="F376" s="1102" t="s">
        <v>65</v>
      </c>
      <c r="G376" s="1102" t="s">
        <v>402</v>
      </c>
      <c r="H376" s="1102" t="s">
        <v>67</v>
      </c>
      <c r="I376" s="1102" t="s">
        <v>869</v>
      </c>
      <c r="J376" s="1102" t="s">
        <v>96</v>
      </c>
      <c r="M376" s="1102" t="s">
        <v>68</v>
      </c>
      <c r="N376" s="1102">
        <v>46104</v>
      </c>
      <c r="O376" s="1102" t="s">
        <v>70</v>
      </c>
      <c r="P376" s="1102" t="s">
        <v>204</v>
      </c>
      <c r="Q376" s="1102" t="s">
        <v>205</v>
      </c>
      <c r="R376" s="1102" t="s">
        <v>73</v>
      </c>
      <c r="S376" s="1102" t="s">
        <v>967</v>
      </c>
      <c r="T376" s="1102">
        <v>455</v>
      </c>
      <c r="U376" s="1102">
        <v>1872</v>
      </c>
      <c r="V376" s="1102">
        <v>0.85175999999999996</v>
      </c>
      <c r="W376" s="1102">
        <v>52</v>
      </c>
      <c r="X376" s="1102">
        <v>2</v>
      </c>
      <c r="Y376" s="1102" t="s">
        <v>951</v>
      </c>
      <c r="Z376" s="1102" t="s">
        <v>75</v>
      </c>
      <c r="AA376" s="1102" t="s">
        <v>1839</v>
      </c>
      <c r="AB376" s="1103">
        <v>46098</v>
      </c>
      <c r="AC376" s="1102">
        <v>12</v>
      </c>
      <c r="AD376" s="1102" t="s">
        <v>1848</v>
      </c>
      <c r="AF376" s="1102" t="s">
        <v>77</v>
      </c>
      <c r="AG376" s="1102" t="s">
        <v>61</v>
      </c>
      <c r="AH376" s="1102" t="s">
        <v>78</v>
      </c>
      <c r="AI376" s="1103">
        <v>46103</v>
      </c>
      <c r="AJ376" s="1103">
        <v>46103</v>
      </c>
      <c r="AK376" s="1103">
        <v>46103</v>
      </c>
      <c r="AL376" s="1103">
        <v>46161</v>
      </c>
      <c r="AM376" s="1103">
        <v>46182</v>
      </c>
      <c r="AN376" s="1103">
        <v>46183</v>
      </c>
      <c r="AO376" s="1102" t="s">
        <v>402</v>
      </c>
      <c r="AP376" s="1102" t="s">
        <v>937</v>
      </c>
      <c r="AQ376" s="1102" t="s">
        <v>80</v>
      </c>
      <c r="AR376" s="1102" t="s">
        <v>1845</v>
      </c>
      <c r="AS376" s="1102" t="s">
        <v>1846</v>
      </c>
      <c r="AT376" s="1102" t="s">
        <v>1846</v>
      </c>
      <c r="AU376" s="1102">
        <v>80</v>
      </c>
      <c r="AW376" s="1103">
        <v>46183</v>
      </c>
      <c r="AX376" s="1102" t="s">
        <v>973</v>
      </c>
      <c r="AY376" s="1103">
        <v>46195</v>
      </c>
      <c r="AZ376" s="1102">
        <v>8</v>
      </c>
      <c r="BA376" s="1103">
        <v>46191</v>
      </c>
      <c r="BB376" s="1102">
        <v>2026</v>
      </c>
      <c r="BC376" s="1102">
        <v>6</v>
      </c>
      <c r="BD376" s="1102">
        <v>25</v>
      </c>
      <c r="BE376" s="1102">
        <v>36</v>
      </c>
      <c r="BF376" s="1102">
        <v>936</v>
      </c>
      <c r="BG376" s="1102" t="s">
        <v>94</v>
      </c>
      <c r="BH376" s="1102" t="s">
        <v>86</v>
      </c>
    </row>
    <row r="377" spans="1:60">
      <c r="A377" s="1102" t="s">
        <v>1849</v>
      </c>
      <c r="B377" s="1102" t="s">
        <v>61</v>
      </c>
      <c r="C377" s="1102" t="s">
        <v>1838</v>
      </c>
      <c r="D377" s="1102" t="s">
        <v>63</v>
      </c>
      <c r="E377" s="1102" t="s">
        <v>64</v>
      </c>
      <c r="F377" s="1102" t="s">
        <v>65</v>
      </c>
      <c r="G377" s="1102" t="s">
        <v>402</v>
      </c>
      <c r="H377" s="1102" t="s">
        <v>67</v>
      </c>
      <c r="I377" s="1102" t="s">
        <v>869</v>
      </c>
      <c r="J377" s="1102" t="s">
        <v>690</v>
      </c>
      <c r="M377" s="1102" t="s">
        <v>68</v>
      </c>
      <c r="N377" s="1102">
        <v>46104</v>
      </c>
      <c r="O377" s="1102" t="s">
        <v>70</v>
      </c>
      <c r="P377" s="1102" t="s">
        <v>204</v>
      </c>
      <c r="Q377" s="1102" t="s">
        <v>205</v>
      </c>
      <c r="R377" s="1102" t="s">
        <v>73</v>
      </c>
      <c r="S377" s="1102" t="s">
        <v>967</v>
      </c>
      <c r="T377" s="1102">
        <v>455</v>
      </c>
      <c r="U377" s="1102">
        <v>1872</v>
      </c>
      <c r="V377" s="1102">
        <v>0.85175999999999996</v>
      </c>
      <c r="W377" s="1102">
        <v>52</v>
      </c>
      <c r="X377" s="1102">
        <v>2</v>
      </c>
      <c r="Y377" s="1102" t="s">
        <v>75</v>
      </c>
      <c r="Z377" s="1102" t="s">
        <v>75</v>
      </c>
      <c r="AB377" s="1103">
        <v>46098</v>
      </c>
      <c r="AC377" s="1102">
        <v>12</v>
      </c>
      <c r="AD377" s="1102" t="s">
        <v>1850</v>
      </c>
      <c r="AF377" s="1102" t="s">
        <v>77</v>
      </c>
      <c r="AG377" s="1102" t="s">
        <v>61</v>
      </c>
      <c r="AH377" s="1102" t="s">
        <v>78</v>
      </c>
      <c r="AI377" s="1103">
        <v>46103</v>
      </c>
      <c r="AJ377" s="1103">
        <v>46103</v>
      </c>
      <c r="AK377" s="1103">
        <v>46103</v>
      </c>
      <c r="AL377" s="1103">
        <v>46161</v>
      </c>
      <c r="AM377" s="1103">
        <v>46166</v>
      </c>
      <c r="AN377" s="1103">
        <v>46164</v>
      </c>
      <c r="AO377" s="1102" t="s">
        <v>402</v>
      </c>
      <c r="AP377" s="1102" t="s">
        <v>937</v>
      </c>
      <c r="AQ377" s="1102" t="s">
        <v>80</v>
      </c>
      <c r="AR377" s="1102" t="s">
        <v>1851</v>
      </c>
      <c r="AS377" s="1102" t="s">
        <v>1852</v>
      </c>
      <c r="AT377" s="1102" t="s">
        <v>1852</v>
      </c>
      <c r="AU377" s="1102">
        <v>61</v>
      </c>
      <c r="AW377" s="1103">
        <v>46164</v>
      </c>
      <c r="AX377" s="1102" t="s">
        <v>973</v>
      </c>
      <c r="AY377" s="1103">
        <v>46177</v>
      </c>
      <c r="AZ377" s="1102">
        <v>8</v>
      </c>
      <c r="BA377" s="1103">
        <v>46172</v>
      </c>
      <c r="BB377" s="1102">
        <v>2026</v>
      </c>
      <c r="BC377" s="1102">
        <v>5</v>
      </c>
      <c r="BD377" s="1102">
        <v>22</v>
      </c>
      <c r="BE377" s="1102">
        <v>36</v>
      </c>
      <c r="BF377" s="1102">
        <v>936</v>
      </c>
      <c r="BG377" s="1102" t="s">
        <v>94</v>
      </c>
      <c r="BH377" s="1102" t="s">
        <v>86</v>
      </c>
    </row>
    <row r="378" spans="1:60">
      <c r="A378" s="1102" t="s">
        <v>1853</v>
      </c>
      <c r="B378" s="1102" t="s">
        <v>1802</v>
      </c>
      <c r="C378" s="1102" t="s">
        <v>1803</v>
      </c>
      <c r="D378" s="1102" t="s">
        <v>113</v>
      </c>
      <c r="E378" s="1102" t="s">
        <v>144</v>
      </c>
      <c r="F378" s="1102" t="s">
        <v>145</v>
      </c>
      <c r="G378" s="1102" t="s">
        <v>402</v>
      </c>
      <c r="H378" s="1102" t="s">
        <v>1449</v>
      </c>
      <c r="I378" s="1102" t="s">
        <v>822</v>
      </c>
      <c r="J378" s="1102" t="s">
        <v>1854</v>
      </c>
      <c r="K378" s="1102" t="s">
        <v>1805</v>
      </c>
      <c r="M378" s="1102" t="s">
        <v>840</v>
      </c>
      <c r="N378" s="1102">
        <v>46097</v>
      </c>
      <c r="O378" s="1102" t="s">
        <v>70</v>
      </c>
      <c r="P378" s="1102" t="s">
        <v>1806</v>
      </c>
      <c r="Q378" s="1102" t="s">
        <v>1807</v>
      </c>
      <c r="R378" s="1102" t="s">
        <v>331</v>
      </c>
      <c r="S378" s="1102" t="s">
        <v>1808</v>
      </c>
      <c r="T378" s="1102">
        <v>720</v>
      </c>
      <c r="U378" s="1102">
        <v>1782</v>
      </c>
      <c r="V378" s="1102">
        <v>1.28304</v>
      </c>
      <c r="W378" s="1102">
        <v>54</v>
      </c>
      <c r="X378" s="1102">
        <v>3</v>
      </c>
      <c r="Y378" s="1102" t="s">
        <v>75</v>
      </c>
      <c r="Z378" s="1102" t="s">
        <v>75</v>
      </c>
      <c r="AA378" s="1102" t="s">
        <v>1809</v>
      </c>
      <c r="AB378" s="1103">
        <v>46106</v>
      </c>
      <c r="AC378" s="1102">
        <v>13</v>
      </c>
      <c r="AD378" s="1102" t="s">
        <v>1855</v>
      </c>
      <c r="AF378" s="1102" t="s">
        <v>945</v>
      </c>
      <c r="AG378" s="1102" t="s">
        <v>123</v>
      </c>
      <c r="AH378" s="1102" t="s">
        <v>105</v>
      </c>
      <c r="AI378" s="1103">
        <v>46110</v>
      </c>
      <c r="AJ378" s="1103">
        <v>46110</v>
      </c>
      <c r="AK378" s="1103">
        <v>46110</v>
      </c>
      <c r="AL378" s="1103">
        <v>46150</v>
      </c>
      <c r="AM378" s="1103">
        <v>46169</v>
      </c>
      <c r="AN378" s="1103">
        <v>46170</v>
      </c>
      <c r="AO378" s="1102" t="s">
        <v>402</v>
      </c>
      <c r="AP378" s="1102" t="s">
        <v>1720</v>
      </c>
      <c r="AQ378" s="1102" t="s">
        <v>80</v>
      </c>
      <c r="AR378" s="1102" t="s">
        <v>1856</v>
      </c>
      <c r="AS378" s="1102" t="s">
        <v>1857</v>
      </c>
      <c r="AT378" s="1102" t="s">
        <v>1857</v>
      </c>
      <c r="AU378" s="1102">
        <v>60</v>
      </c>
      <c r="AW378" s="1103">
        <v>46170</v>
      </c>
      <c r="AX378" s="1102" t="s">
        <v>973</v>
      </c>
      <c r="AY378" s="1103">
        <v>46163</v>
      </c>
      <c r="AZ378" s="1102">
        <v>0</v>
      </c>
      <c r="BA378" s="1103">
        <v>46170</v>
      </c>
      <c r="BB378" s="1102">
        <v>2026</v>
      </c>
      <c r="BC378" s="1102">
        <v>5</v>
      </c>
      <c r="BD378" s="1102">
        <v>22</v>
      </c>
      <c r="BE378" s="1102">
        <v>33</v>
      </c>
      <c r="BF378" s="1102">
        <v>594</v>
      </c>
      <c r="BG378" s="1102" t="s">
        <v>94</v>
      </c>
      <c r="BH378" s="1102" t="s">
        <v>109</v>
      </c>
    </row>
    <row r="379" spans="1:60">
      <c r="A379" s="1102" t="s">
        <v>1858</v>
      </c>
      <c r="B379" s="1102" t="s">
        <v>1802</v>
      </c>
      <c r="C379" s="1102" t="s">
        <v>1803</v>
      </c>
      <c r="D379" s="1102" t="s">
        <v>113</v>
      </c>
      <c r="E379" s="1102" t="s">
        <v>144</v>
      </c>
      <c r="F379" s="1102" t="s">
        <v>145</v>
      </c>
      <c r="G379" s="1102" t="s">
        <v>402</v>
      </c>
      <c r="H379" s="1102" t="s">
        <v>1449</v>
      </c>
      <c r="I379" s="1102" t="s">
        <v>822</v>
      </c>
      <c r="J379" s="1102" t="s">
        <v>1854</v>
      </c>
      <c r="K379" s="1102" t="s">
        <v>1805</v>
      </c>
      <c r="M379" s="1102" t="s">
        <v>840</v>
      </c>
      <c r="N379" s="1102">
        <v>46097</v>
      </c>
      <c r="O379" s="1102" t="s">
        <v>70</v>
      </c>
      <c r="P379" s="1102" t="s">
        <v>1806</v>
      </c>
      <c r="Q379" s="1102" t="s">
        <v>1807</v>
      </c>
      <c r="R379" s="1102" t="s">
        <v>331</v>
      </c>
      <c r="S379" s="1102" t="s">
        <v>1808</v>
      </c>
      <c r="T379" s="1102">
        <v>720</v>
      </c>
      <c r="U379" s="1102">
        <v>1188</v>
      </c>
      <c r="V379" s="1102">
        <v>0.85536000000000001</v>
      </c>
      <c r="W379" s="1102">
        <v>36</v>
      </c>
      <c r="X379" s="1102">
        <v>2</v>
      </c>
      <c r="Y379" s="1102" t="s">
        <v>75</v>
      </c>
      <c r="Z379" s="1102" t="s">
        <v>75</v>
      </c>
      <c r="AA379" s="1102" t="s">
        <v>1809</v>
      </c>
      <c r="AB379" s="1103">
        <v>46107</v>
      </c>
      <c r="AC379" s="1102">
        <v>13</v>
      </c>
      <c r="AD379" s="1102" t="s">
        <v>1859</v>
      </c>
      <c r="AF379" s="1102" t="s">
        <v>945</v>
      </c>
      <c r="AG379" s="1102" t="s">
        <v>123</v>
      </c>
      <c r="AH379" s="1102" t="s">
        <v>105</v>
      </c>
      <c r="AI379" s="1103">
        <v>46110</v>
      </c>
      <c r="AJ379" s="1103">
        <v>46112</v>
      </c>
      <c r="AK379" s="1103">
        <v>46112</v>
      </c>
      <c r="AL379" s="1103">
        <v>46147</v>
      </c>
      <c r="AM379" s="1103">
        <v>46154</v>
      </c>
      <c r="AN379" s="1103">
        <v>46157</v>
      </c>
      <c r="AO379" s="1102" t="s">
        <v>402</v>
      </c>
      <c r="AP379" s="1102" t="s">
        <v>937</v>
      </c>
      <c r="AQ379" s="1102" t="s">
        <v>80</v>
      </c>
      <c r="AR379" s="1102" t="s">
        <v>1860</v>
      </c>
      <c r="AS379" s="1102" t="s">
        <v>1861</v>
      </c>
      <c r="AT379" s="1102" t="s">
        <v>1861</v>
      </c>
      <c r="AU379" s="1102">
        <v>45</v>
      </c>
      <c r="AW379" s="1103">
        <v>46157</v>
      </c>
      <c r="AX379" s="1102" t="s">
        <v>973</v>
      </c>
      <c r="AY379" s="1103">
        <v>46160</v>
      </c>
      <c r="AZ379" s="1102">
        <v>0</v>
      </c>
      <c r="BA379" s="1103">
        <v>46157</v>
      </c>
      <c r="BB379" s="1102">
        <v>2026</v>
      </c>
      <c r="BC379" s="1102">
        <v>5</v>
      </c>
      <c r="BD379" s="1102">
        <v>20</v>
      </c>
      <c r="BE379" s="1102">
        <v>33</v>
      </c>
      <c r="BF379" s="1102">
        <v>594</v>
      </c>
      <c r="BG379" s="1102" t="s">
        <v>94</v>
      </c>
      <c r="BH379" s="1102" t="s">
        <v>109</v>
      </c>
    </row>
    <row r="380" spans="1:60">
      <c r="A380" s="1102" t="s">
        <v>1862</v>
      </c>
      <c r="B380" s="1102" t="s">
        <v>111</v>
      </c>
      <c r="C380" s="1102" t="s">
        <v>1091</v>
      </c>
      <c r="D380" s="1102" t="s">
        <v>63</v>
      </c>
      <c r="E380" s="1102" t="s">
        <v>64</v>
      </c>
      <c r="F380" s="1102" t="s">
        <v>100</v>
      </c>
      <c r="G380" s="1102" t="s">
        <v>402</v>
      </c>
      <c r="H380" s="1102" t="s">
        <v>67</v>
      </c>
      <c r="I380" s="1102" t="s">
        <v>689</v>
      </c>
      <c r="J380" s="1102" t="s">
        <v>293</v>
      </c>
      <c r="M380" s="1102" t="s">
        <v>68</v>
      </c>
      <c r="N380" s="1102" t="s">
        <v>68</v>
      </c>
      <c r="O380" s="1102" t="s">
        <v>132</v>
      </c>
      <c r="P380" s="1102" t="s">
        <v>189</v>
      </c>
      <c r="Q380" s="1102" t="s">
        <v>190</v>
      </c>
      <c r="R380" s="1102" t="s">
        <v>73</v>
      </c>
      <c r="S380" s="1102" t="s">
        <v>967</v>
      </c>
      <c r="T380" s="1102">
        <v>465</v>
      </c>
      <c r="U380" s="1102">
        <v>864</v>
      </c>
      <c r="V380" s="1102">
        <v>0.40176000000000001</v>
      </c>
      <c r="W380" s="1102">
        <v>24</v>
      </c>
      <c r="X380" s="1102">
        <v>1</v>
      </c>
      <c r="Y380" s="1102" t="s">
        <v>75</v>
      </c>
      <c r="Z380" s="1102" t="s">
        <v>75</v>
      </c>
      <c r="AB380" s="1103">
        <v>46103</v>
      </c>
      <c r="AC380" s="1102">
        <v>12</v>
      </c>
      <c r="AD380" s="1102" t="s">
        <v>1863</v>
      </c>
      <c r="AF380" s="1102" t="s">
        <v>1643</v>
      </c>
      <c r="AG380" s="1102" t="s">
        <v>123</v>
      </c>
      <c r="AH380" s="1102" t="s">
        <v>105</v>
      </c>
      <c r="AI380" s="1103">
        <v>46110</v>
      </c>
      <c r="AJ380" s="1103">
        <v>46112</v>
      </c>
      <c r="AK380" s="1103">
        <v>46112</v>
      </c>
      <c r="AL380" s="1103">
        <v>46147</v>
      </c>
      <c r="AM380" s="1103">
        <v>46154</v>
      </c>
      <c r="AN380" s="1103">
        <v>46157</v>
      </c>
      <c r="AO380" s="1102" t="s">
        <v>402</v>
      </c>
      <c r="AP380" s="1102" t="s">
        <v>937</v>
      </c>
      <c r="AQ380" s="1102" t="s">
        <v>80</v>
      </c>
      <c r="AR380" s="1102" t="s">
        <v>1864</v>
      </c>
      <c r="AS380" s="1102" t="s">
        <v>1865</v>
      </c>
      <c r="AT380" s="1102" t="s">
        <v>1866</v>
      </c>
      <c r="AU380" s="1102">
        <v>45</v>
      </c>
      <c r="AW380" s="1103">
        <v>46157</v>
      </c>
      <c r="AX380" s="1102" t="s">
        <v>973</v>
      </c>
      <c r="AY380" s="1103">
        <v>46166</v>
      </c>
      <c r="AZ380" s="1102">
        <v>7</v>
      </c>
      <c r="BA380" s="1103">
        <v>46164</v>
      </c>
      <c r="BB380" s="1102">
        <v>2026</v>
      </c>
      <c r="BC380" s="1102">
        <v>5</v>
      </c>
      <c r="BD380" s="1102">
        <v>21</v>
      </c>
      <c r="BE380" s="1102">
        <v>36</v>
      </c>
      <c r="BF380" s="1102">
        <v>864</v>
      </c>
      <c r="BG380" s="1102" t="s">
        <v>108</v>
      </c>
      <c r="BH380" s="1102" t="s">
        <v>109</v>
      </c>
    </row>
    <row r="381" spans="1:60">
      <c r="A381" s="1102" t="s">
        <v>1867</v>
      </c>
      <c r="B381" s="1102" t="s">
        <v>111</v>
      </c>
      <c r="C381" s="1102" t="s">
        <v>1091</v>
      </c>
      <c r="D381" s="1102" t="s">
        <v>63</v>
      </c>
      <c r="E381" s="1102" t="s">
        <v>144</v>
      </c>
      <c r="F381" s="1102" t="s">
        <v>145</v>
      </c>
      <c r="G381" s="1102" t="s">
        <v>402</v>
      </c>
      <c r="H381" s="1102" t="s">
        <v>1449</v>
      </c>
      <c r="I381" s="1102" t="s">
        <v>689</v>
      </c>
      <c r="J381" s="1102" t="s">
        <v>1450</v>
      </c>
      <c r="K381" s="1102" t="s">
        <v>1451</v>
      </c>
      <c r="L381" s="1102">
        <v>5</v>
      </c>
      <c r="M381" s="1102" t="s">
        <v>840</v>
      </c>
      <c r="N381" s="1102">
        <v>46069</v>
      </c>
      <c r="O381" s="1102" t="s">
        <v>132</v>
      </c>
      <c r="P381" s="1102" t="s">
        <v>189</v>
      </c>
      <c r="Q381" s="1102" t="s">
        <v>190</v>
      </c>
      <c r="R381" s="1102" t="s">
        <v>73</v>
      </c>
      <c r="S381" s="1102" t="s">
        <v>967</v>
      </c>
      <c r="T381" s="1102">
        <v>465</v>
      </c>
      <c r="U381" s="1102">
        <v>3456</v>
      </c>
      <c r="V381" s="1102">
        <v>1.60704</v>
      </c>
      <c r="W381" s="1102">
        <v>96</v>
      </c>
      <c r="X381" s="1102">
        <v>4</v>
      </c>
      <c r="Y381" s="1102" t="s">
        <v>75</v>
      </c>
      <c r="Z381" s="1102" t="s">
        <v>75</v>
      </c>
      <c r="AA381" s="1102" t="s">
        <v>1868</v>
      </c>
      <c r="AB381" s="1103">
        <v>46103</v>
      </c>
      <c r="AC381" s="1102">
        <v>12</v>
      </c>
      <c r="AD381" s="1102" t="s">
        <v>1869</v>
      </c>
      <c r="AF381" s="1102" t="s">
        <v>1643</v>
      </c>
      <c r="AG381" s="1102" t="s">
        <v>123</v>
      </c>
      <c r="AH381" s="1102" t="s">
        <v>105</v>
      </c>
      <c r="AI381" s="1103">
        <v>46110</v>
      </c>
      <c r="AJ381" s="1103">
        <v>46112</v>
      </c>
      <c r="AK381" s="1103">
        <v>46112</v>
      </c>
      <c r="AL381" s="1103">
        <v>46147</v>
      </c>
      <c r="AM381" s="1103">
        <v>46154</v>
      </c>
      <c r="AN381" s="1103">
        <v>46157</v>
      </c>
      <c r="AO381" s="1102" t="s">
        <v>402</v>
      </c>
      <c r="AP381" s="1102" t="s">
        <v>937</v>
      </c>
      <c r="AQ381" s="1102" t="s">
        <v>80</v>
      </c>
      <c r="AR381" s="1102" t="s">
        <v>1870</v>
      </c>
      <c r="AS381" s="1102" t="s">
        <v>1866</v>
      </c>
      <c r="AT381" s="1102" t="s">
        <v>1866</v>
      </c>
      <c r="AU381" s="1102">
        <v>45</v>
      </c>
      <c r="AW381" s="1103">
        <v>46157</v>
      </c>
      <c r="AX381" s="1102" t="s">
        <v>973</v>
      </c>
      <c r="AY381" s="1103">
        <v>46138</v>
      </c>
      <c r="AZ381" s="1102">
        <v>0</v>
      </c>
      <c r="BA381" s="1103">
        <v>46157</v>
      </c>
      <c r="BB381" s="1102">
        <v>2026</v>
      </c>
      <c r="BC381" s="1102">
        <v>5</v>
      </c>
      <c r="BD381" s="1102">
        <v>20</v>
      </c>
      <c r="BE381" s="1102">
        <v>36</v>
      </c>
      <c r="BF381" s="1102">
        <v>864</v>
      </c>
      <c r="BG381" s="1102" t="s">
        <v>108</v>
      </c>
      <c r="BH381" s="1102" t="s">
        <v>109</v>
      </c>
    </row>
    <row r="382" spans="1:60">
      <c r="A382" s="1102" t="s">
        <v>1871</v>
      </c>
      <c r="B382" s="1102" t="s">
        <v>111</v>
      </c>
      <c r="C382" s="1102" t="s">
        <v>1091</v>
      </c>
      <c r="D382" s="1102" t="s">
        <v>63</v>
      </c>
      <c r="E382" s="1102" t="s">
        <v>144</v>
      </c>
      <c r="F382" s="1102" t="s">
        <v>145</v>
      </c>
      <c r="G382" s="1102" t="s">
        <v>402</v>
      </c>
      <c r="H382" s="1102" t="s">
        <v>1449</v>
      </c>
      <c r="I382" s="1102" t="s">
        <v>689</v>
      </c>
      <c r="J382" s="1102" t="s">
        <v>1450</v>
      </c>
      <c r="K382" s="1102" t="s">
        <v>1451</v>
      </c>
      <c r="L382" s="1102">
        <v>10</v>
      </c>
      <c r="M382" s="1102" t="s">
        <v>840</v>
      </c>
      <c r="N382" s="1102">
        <v>46069</v>
      </c>
      <c r="O382" s="1102" t="s">
        <v>132</v>
      </c>
      <c r="P382" s="1102" t="s">
        <v>189</v>
      </c>
      <c r="Q382" s="1102" t="s">
        <v>190</v>
      </c>
      <c r="R382" s="1102" t="s">
        <v>73</v>
      </c>
      <c r="S382" s="1102" t="s">
        <v>967</v>
      </c>
      <c r="T382" s="1102">
        <v>465</v>
      </c>
      <c r="U382" s="1102">
        <v>864</v>
      </c>
      <c r="V382" s="1102">
        <v>0.40176000000000001</v>
      </c>
      <c r="W382" s="1102">
        <v>24</v>
      </c>
      <c r="X382" s="1102">
        <v>1</v>
      </c>
      <c r="Y382" s="1102" t="s">
        <v>75</v>
      </c>
      <c r="Z382" s="1102" t="s">
        <v>75</v>
      </c>
      <c r="AB382" s="1103">
        <v>46103</v>
      </c>
      <c r="AC382" s="1102">
        <v>12</v>
      </c>
      <c r="AD382" s="1102" t="s">
        <v>1872</v>
      </c>
      <c r="AF382" s="1102" t="s">
        <v>1643</v>
      </c>
      <c r="AG382" s="1102" t="s">
        <v>123</v>
      </c>
      <c r="AH382" s="1102" t="s">
        <v>105</v>
      </c>
      <c r="AI382" s="1103">
        <v>46110</v>
      </c>
      <c r="AJ382" s="1103">
        <v>46112</v>
      </c>
      <c r="AK382" s="1103">
        <v>46112</v>
      </c>
      <c r="AL382" s="1103">
        <v>46147</v>
      </c>
      <c r="AM382" s="1103">
        <v>46154</v>
      </c>
      <c r="AN382" s="1103">
        <v>46157</v>
      </c>
      <c r="AO382" s="1102" t="s">
        <v>402</v>
      </c>
      <c r="AP382" s="1102" t="s">
        <v>937</v>
      </c>
      <c r="AQ382" s="1102" t="s">
        <v>80</v>
      </c>
      <c r="AR382" s="1102" t="s">
        <v>1870</v>
      </c>
      <c r="AS382" s="1102" t="s">
        <v>1866</v>
      </c>
      <c r="AT382" s="1102" t="s">
        <v>1866</v>
      </c>
      <c r="AU382" s="1102">
        <v>45</v>
      </c>
      <c r="AW382" s="1103">
        <v>46157</v>
      </c>
      <c r="AX382" s="1102" t="s">
        <v>973</v>
      </c>
      <c r="AY382" s="1103">
        <v>46166</v>
      </c>
      <c r="AZ382" s="1102">
        <v>0</v>
      </c>
      <c r="BA382" s="1103">
        <v>46157</v>
      </c>
      <c r="BB382" s="1102">
        <v>2026</v>
      </c>
      <c r="BC382" s="1102">
        <v>5</v>
      </c>
      <c r="BD382" s="1102">
        <v>20</v>
      </c>
      <c r="BE382" s="1102">
        <v>36</v>
      </c>
      <c r="BF382" s="1102">
        <v>864</v>
      </c>
      <c r="BG382" s="1102" t="s">
        <v>108</v>
      </c>
      <c r="BH382" s="1102" t="s">
        <v>109</v>
      </c>
    </row>
    <row r="383" spans="1:60">
      <c r="A383" s="1102" t="s">
        <v>1873</v>
      </c>
      <c r="B383" s="1102" t="s">
        <v>111</v>
      </c>
      <c r="C383" s="1102" t="s">
        <v>1091</v>
      </c>
      <c r="D383" s="1102" t="s">
        <v>63</v>
      </c>
      <c r="E383" s="1102" t="s">
        <v>64</v>
      </c>
      <c r="F383" s="1102" t="s">
        <v>100</v>
      </c>
      <c r="G383" s="1102" t="s">
        <v>402</v>
      </c>
      <c r="H383" s="1102" t="s">
        <v>67</v>
      </c>
      <c r="I383" s="1102" t="s">
        <v>689</v>
      </c>
      <c r="J383" s="1102" t="s">
        <v>101</v>
      </c>
      <c r="M383" s="1102" t="s">
        <v>68</v>
      </c>
      <c r="N383" s="1102">
        <v>46069</v>
      </c>
      <c r="O383" s="1102" t="s">
        <v>132</v>
      </c>
      <c r="P383" s="1102" t="s">
        <v>189</v>
      </c>
      <c r="Q383" s="1102" t="s">
        <v>190</v>
      </c>
      <c r="R383" s="1102" t="s">
        <v>73</v>
      </c>
      <c r="S383" s="1102" t="s">
        <v>967</v>
      </c>
      <c r="T383" s="1102">
        <v>465</v>
      </c>
      <c r="U383" s="1102">
        <v>2592</v>
      </c>
      <c r="V383" s="1102">
        <v>1.2052799999999999</v>
      </c>
      <c r="W383" s="1102">
        <v>72</v>
      </c>
      <c r="X383" s="1102">
        <v>3</v>
      </c>
      <c r="Y383" s="1102" t="s">
        <v>75</v>
      </c>
      <c r="Z383" s="1102" t="s">
        <v>75</v>
      </c>
      <c r="AB383" s="1103">
        <v>46103</v>
      </c>
      <c r="AC383" s="1102">
        <v>12</v>
      </c>
      <c r="AD383" s="1102" t="s">
        <v>1874</v>
      </c>
      <c r="AF383" s="1102" t="s">
        <v>1643</v>
      </c>
      <c r="AG383" s="1102" t="s">
        <v>123</v>
      </c>
      <c r="AH383" s="1102" t="s">
        <v>105</v>
      </c>
      <c r="AI383" s="1103">
        <v>46110</v>
      </c>
      <c r="AJ383" s="1103">
        <v>46112</v>
      </c>
      <c r="AK383" s="1103">
        <v>46112</v>
      </c>
      <c r="AL383" s="1103">
        <v>46147</v>
      </c>
      <c r="AM383" s="1103">
        <v>46154</v>
      </c>
      <c r="AN383" s="1103">
        <v>46157</v>
      </c>
      <c r="AO383" s="1102" t="s">
        <v>402</v>
      </c>
      <c r="AP383" s="1102" t="s">
        <v>937</v>
      </c>
      <c r="AQ383" s="1102" t="s">
        <v>80</v>
      </c>
      <c r="AR383" s="1102" t="s">
        <v>1864</v>
      </c>
      <c r="AS383" s="1102" t="s">
        <v>1865</v>
      </c>
      <c r="AT383" s="1102" t="s">
        <v>1866</v>
      </c>
      <c r="AU383" s="1102">
        <v>45</v>
      </c>
      <c r="AW383" s="1103">
        <v>46157</v>
      </c>
      <c r="AX383" s="1102" t="s">
        <v>973</v>
      </c>
      <c r="AY383" s="1103">
        <v>46172</v>
      </c>
      <c r="AZ383" s="1102">
        <v>7</v>
      </c>
      <c r="BA383" s="1103">
        <v>46164</v>
      </c>
      <c r="BB383" s="1102">
        <v>2026</v>
      </c>
      <c r="BC383" s="1102">
        <v>5</v>
      </c>
      <c r="BD383" s="1102">
        <v>21</v>
      </c>
      <c r="BE383" s="1102">
        <v>36</v>
      </c>
      <c r="BF383" s="1102">
        <v>864</v>
      </c>
      <c r="BG383" s="1102" t="s">
        <v>108</v>
      </c>
      <c r="BH383" s="1102" t="s">
        <v>109</v>
      </c>
    </row>
    <row r="384" spans="1:60">
      <c r="A384" s="1102" t="s">
        <v>1875</v>
      </c>
      <c r="B384" s="1102" t="s">
        <v>111</v>
      </c>
      <c r="C384" s="1102" t="s">
        <v>1876</v>
      </c>
      <c r="D384" s="1102" t="s">
        <v>63</v>
      </c>
      <c r="E384" s="1102" t="s">
        <v>64</v>
      </c>
      <c r="F384" s="1102" t="s">
        <v>100</v>
      </c>
      <c r="G384" s="1102" t="s">
        <v>402</v>
      </c>
      <c r="H384" s="1102" t="s">
        <v>67</v>
      </c>
      <c r="I384" s="1102" t="s">
        <v>689</v>
      </c>
      <c r="J384" s="1102" t="s">
        <v>483</v>
      </c>
      <c r="M384" s="1102" t="s">
        <v>68</v>
      </c>
      <c r="N384" s="1102">
        <v>46083</v>
      </c>
      <c r="O384" s="1102" t="s">
        <v>473</v>
      </c>
      <c r="P384" s="1102" t="s">
        <v>529</v>
      </c>
      <c r="Q384" s="1102" t="s">
        <v>1311</v>
      </c>
      <c r="R384" s="1102" t="s">
        <v>73</v>
      </c>
      <c r="S384" s="1102" t="s">
        <v>967</v>
      </c>
      <c r="T384" s="1102">
        <v>455</v>
      </c>
      <c r="U384" s="1102">
        <v>4320</v>
      </c>
      <c r="V384" s="1102">
        <v>1.9656</v>
      </c>
      <c r="W384" s="1102">
        <v>120</v>
      </c>
      <c r="X384" s="1102">
        <v>5</v>
      </c>
      <c r="Y384" s="1102" t="s">
        <v>75</v>
      </c>
      <c r="Z384" s="1102" t="s">
        <v>75</v>
      </c>
      <c r="AA384" s="1102" t="s">
        <v>1548</v>
      </c>
      <c r="AB384" s="1103">
        <v>46102</v>
      </c>
      <c r="AC384" s="1102">
        <v>12</v>
      </c>
      <c r="AD384" s="1102" t="s">
        <v>1877</v>
      </c>
      <c r="AF384" s="1102" t="s">
        <v>1643</v>
      </c>
      <c r="AG384" s="1102" t="s">
        <v>123</v>
      </c>
      <c r="AH384" s="1102" t="s">
        <v>105</v>
      </c>
      <c r="AI384" s="1103">
        <v>46111</v>
      </c>
      <c r="AJ384" s="1103">
        <v>46111</v>
      </c>
      <c r="AK384" s="1103">
        <v>46111</v>
      </c>
      <c r="AL384" s="1103">
        <v>46148</v>
      </c>
      <c r="AM384" s="1103">
        <v>46157</v>
      </c>
      <c r="AN384" s="1103">
        <v>46156</v>
      </c>
      <c r="AO384" s="1102" t="s">
        <v>402</v>
      </c>
      <c r="AP384" s="1102" t="s">
        <v>1878</v>
      </c>
      <c r="AQ384" s="1102" t="s">
        <v>80</v>
      </c>
      <c r="AR384" s="1102" t="s">
        <v>1879</v>
      </c>
      <c r="AS384" s="1102" t="s">
        <v>1880</v>
      </c>
      <c r="AT384" s="1102" t="s">
        <v>1880</v>
      </c>
      <c r="AU384" s="1102">
        <v>45</v>
      </c>
      <c r="AW384" s="1103">
        <v>46156</v>
      </c>
      <c r="AX384" s="1102" t="s">
        <v>973</v>
      </c>
      <c r="AY384" s="1103">
        <v>46169</v>
      </c>
      <c r="AZ384" s="1102">
        <v>7</v>
      </c>
      <c r="BA384" s="1103">
        <v>46163</v>
      </c>
      <c r="BB384" s="1102">
        <v>2026</v>
      </c>
      <c r="BC384" s="1102">
        <v>5</v>
      </c>
      <c r="BD384" s="1102">
        <v>21</v>
      </c>
      <c r="BE384" s="1102">
        <v>36</v>
      </c>
      <c r="BF384" s="1102">
        <v>864</v>
      </c>
      <c r="BG384" s="1102" t="s">
        <v>85</v>
      </c>
      <c r="BH384" s="1102" t="s">
        <v>109</v>
      </c>
    </row>
    <row r="385" spans="1:60">
      <c r="A385" s="1102" t="s">
        <v>1881</v>
      </c>
      <c r="B385" s="1102" t="s">
        <v>1757</v>
      </c>
      <c r="C385" s="1102" t="s">
        <v>1286</v>
      </c>
      <c r="D385" s="1102" t="s">
        <v>63</v>
      </c>
      <c r="E385" s="1102" t="s">
        <v>144</v>
      </c>
      <c r="F385" s="1102" t="s">
        <v>145</v>
      </c>
      <c r="G385" s="1102" t="s">
        <v>146</v>
      </c>
      <c r="H385" s="1102" t="s">
        <v>157</v>
      </c>
      <c r="I385" s="1102" t="s">
        <v>689</v>
      </c>
      <c r="J385" s="1102" t="s">
        <v>157</v>
      </c>
      <c r="K385" s="1102" t="s">
        <v>1882</v>
      </c>
      <c r="M385" s="1102" t="s">
        <v>840</v>
      </c>
      <c r="N385" s="1102">
        <v>46104</v>
      </c>
      <c r="O385" s="1102" t="s">
        <v>70</v>
      </c>
      <c r="P385" s="1102" t="s">
        <v>1151</v>
      </c>
      <c r="Q385" s="1102" t="s">
        <v>421</v>
      </c>
      <c r="R385" s="1102" t="s">
        <v>73</v>
      </c>
      <c r="S385" s="1102" t="s">
        <v>967</v>
      </c>
      <c r="T385" s="1102">
        <v>505</v>
      </c>
      <c r="U385" s="1102">
        <v>1728</v>
      </c>
      <c r="V385" s="1102">
        <v>0.87263999999999997</v>
      </c>
      <c r="W385" s="1102">
        <v>48</v>
      </c>
      <c r="X385" s="1102">
        <v>2</v>
      </c>
      <c r="Y385" s="1102" t="s">
        <v>75</v>
      </c>
      <c r="Z385" s="1102" t="s">
        <v>75</v>
      </c>
      <c r="AA385" s="1102" t="s">
        <v>1883</v>
      </c>
      <c r="AB385" s="1103">
        <v>46109</v>
      </c>
      <c r="AC385" s="1102">
        <v>13</v>
      </c>
      <c r="AD385" s="1102" t="s">
        <v>1884</v>
      </c>
      <c r="AF385" s="1102" t="s">
        <v>1762</v>
      </c>
      <c r="AG385" s="1102" t="s">
        <v>123</v>
      </c>
      <c r="AH385" s="1102" t="s">
        <v>159</v>
      </c>
      <c r="AI385" s="1103">
        <v>46113</v>
      </c>
      <c r="AJ385" s="1103">
        <v>46113</v>
      </c>
      <c r="AK385" s="1103">
        <v>46113</v>
      </c>
      <c r="AL385" s="1103">
        <v>46172</v>
      </c>
      <c r="AM385" s="1103">
        <v>46172</v>
      </c>
      <c r="AN385" s="1103">
        <v>46172</v>
      </c>
      <c r="AO385" s="1102" t="s">
        <v>402</v>
      </c>
      <c r="AP385" s="1102" t="s">
        <v>1885</v>
      </c>
      <c r="AQ385" s="1102" t="s">
        <v>161</v>
      </c>
      <c r="AR385" s="1102" t="s">
        <v>1886</v>
      </c>
      <c r="AS385" s="1102">
        <v>267445298</v>
      </c>
      <c r="AT385" s="1102">
        <v>267445298</v>
      </c>
      <c r="AU385" s="1102">
        <v>59</v>
      </c>
      <c r="AW385" s="1103">
        <v>46172</v>
      </c>
      <c r="AX385" s="1102" t="s">
        <v>973</v>
      </c>
      <c r="AY385" s="1103">
        <v>46184</v>
      </c>
      <c r="AZ385" s="1102">
        <v>0</v>
      </c>
      <c r="BA385" s="1103">
        <v>46172</v>
      </c>
      <c r="BB385" s="1102">
        <v>2026</v>
      </c>
      <c r="BC385" s="1102">
        <v>5</v>
      </c>
      <c r="BD385" s="1102">
        <v>22</v>
      </c>
      <c r="BE385" s="1102">
        <v>36</v>
      </c>
      <c r="BF385" s="1102">
        <v>864</v>
      </c>
      <c r="BG385" s="1102" t="s">
        <v>85</v>
      </c>
      <c r="BH385" s="1102" t="s">
        <v>109</v>
      </c>
    </row>
    <row r="386" spans="1:60">
      <c r="A386" s="1102" t="s">
        <v>1887</v>
      </c>
      <c r="B386" s="1102" t="s">
        <v>1888</v>
      </c>
      <c r="C386" s="1102" t="s">
        <v>1016</v>
      </c>
      <c r="D386" s="1102" t="s">
        <v>63</v>
      </c>
      <c r="E386" s="1102" t="s">
        <v>144</v>
      </c>
      <c r="F386" s="1102" t="s">
        <v>145</v>
      </c>
      <c r="G386" s="1102" t="s">
        <v>402</v>
      </c>
      <c r="H386" s="1102" t="s">
        <v>157</v>
      </c>
      <c r="I386" s="1102" t="s">
        <v>689</v>
      </c>
      <c r="J386" s="1102" t="s">
        <v>157</v>
      </c>
      <c r="K386" s="1102" t="s">
        <v>1882</v>
      </c>
      <c r="M386" s="1102" t="s">
        <v>840</v>
      </c>
      <c r="N386" s="1102">
        <v>46069</v>
      </c>
      <c r="O386" s="1102" t="s">
        <v>70</v>
      </c>
      <c r="P386" s="1102" t="s">
        <v>195</v>
      </c>
      <c r="Q386" s="1102" t="s">
        <v>196</v>
      </c>
      <c r="R386" s="1102" t="s">
        <v>73</v>
      </c>
      <c r="S386" s="1102" t="s">
        <v>967</v>
      </c>
      <c r="T386" s="1102">
        <v>450</v>
      </c>
      <c r="U386" s="1102">
        <v>1872</v>
      </c>
      <c r="V386" s="1102">
        <v>0.84240000000000004</v>
      </c>
      <c r="W386" s="1102">
        <v>52</v>
      </c>
      <c r="X386" s="1102">
        <v>2</v>
      </c>
      <c r="Y386" s="1102" t="s">
        <v>75</v>
      </c>
      <c r="Z386" s="1102" t="s">
        <v>75</v>
      </c>
      <c r="AA386" s="1102" t="s">
        <v>1889</v>
      </c>
      <c r="AB386" s="1103">
        <v>46108</v>
      </c>
      <c r="AC386" s="1102">
        <v>13</v>
      </c>
      <c r="AD386" s="1102" t="s">
        <v>1890</v>
      </c>
      <c r="AF386" s="1102" t="s">
        <v>1891</v>
      </c>
      <c r="AG386" s="1102" t="s">
        <v>123</v>
      </c>
      <c r="AH386" s="1102" t="s">
        <v>159</v>
      </c>
      <c r="AI386" s="1103">
        <v>46113</v>
      </c>
      <c r="AJ386" s="1103">
        <v>46113</v>
      </c>
      <c r="AK386" s="1103">
        <v>46113</v>
      </c>
      <c r="AL386" s="1103">
        <v>46172</v>
      </c>
      <c r="AM386" s="1103">
        <v>46172</v>
      </c>
      <c r="AN386" s="1103">
        <v>46172</v>
      </c>
      <c r="AO386" s="1102" t="s">
        <v>402</v>
      </c>
      <c r="AP386" s="1102" t="s">
        <v>1885</v>
      </c>
      <c r="AQ386" s="1102" t="s">
        <v>161</v>
      </c>
      <c r="AR386" s="1102" t="s">
        <v>1886</v>
      </c>
      <c r="AS386" s="1102">
        <v>267445298</v>
      </c>
      <c r="AT386" s="1102">
        <v>267721245</v>
      </c>
      <c r="AU386" s="1102">
        <v>59</v>
      </c>
      <c r="AW386" s="1103">
        <v>46172</v>
      </c>
      <c r="AX386" s="1102" t="s">
        <v>973</v>
      </c>
      <c r="AY386" s="1103">
        <v>46184</v>
      </c>
      <c r="AZ386" s="1102">
        <v>0</v>
      </c>
      <c r="BA386" s="1103">
        <v>46172</v>
      </c>
      <c r="BB386" s="1102">
        <v>2026</v>
      </c>
      <c r="BC386" s="1102">
        <v>5</v>
      </c>
      <c r="BD386" s="1102">
        <v>22</v>
      </c>
      <c r="BE386" s="1102">
        <v>36</v>
      </c>
      <c r="BF386" s="1102">
        <v>936</v>
      </c>
      <c r="BG386" s="1102" t="s">
        <v>85</v>
      </c>
      <c r="BH386" s="1102" t="s">
        <v>109</v>
      </c>
    </row>
    <row r="387" spans="1:60">
      <c r="A387" s="1102" t="s">
        <v>1892</v>
      </c>
      <c r="B387" s="1102" t="s">
        <v>111</v>
      </c>
      <c r="C387" s="1102" t="s">
        <v>1893</v>
      </c>
      <c r="D387" s="1102" t="s">
        <v>63</v>
      </c>
      <c r="E387" s="1102" t="s">
        <v>144</v>
      </c>
      <c r="F387" s="1102" t="s">
        <v>145</v>
      </c>
      <c r="G387" s="1102" t="s">
        <v>402</v>
      </c>
      <c r="H387" s="1102" t="s">
        <v>593</v>
      </c>
      <c r="I387" s="1102" t="s">
        <v>869</v>
      </c>
      <c r="J387" s="1102" t="s">
        <v>594</v>
      </c>
      <c r="K387" s="1102" t="s">
        <v>1124</v>
      </c>
      <c r="M387" s="1102" t="s">
        <v>840</v>
      </c>
      <c r="N387" s="1102">
        <v>46111</v>
      </c>
      <c r="O387" s="1102" t="s">
        <v>132</v>
      </c>
      <c r="P387" s="1102" t="s">
        <v>1894</v>
      </c>
      <c r="Q387" s="1102" t="s">
        <v>1895</v>
      </c>
      <c r="R387" s="1102" t="s">
        <v>73</v>
      </c>
      <c r="S387" s="1102" t="s">
        <v>992</v>
      </c>
      <c r="T387" s="1102">
        <v>560</v>
      </c>
      <c r="U387" s="1102">
        <v>3300</v>
      </c>
      <c r="V387" s="1102">
        <v>1.8480000000000001</v>
      </c>
      <c r="W387" s="1102">
        <v>100</v>
      </c>
      <c r="X387" s="1102">
        <v>5</v>
      </c>
      <c r="Y387" s="1102" t="s">
        <v>75</v>
      </c>
      <c r="Z387" s="1102" t="s">
        <v>75</v>
      </c>
      <c r="AA387" s="1102" t="s">
        <v>1896</v>
      </c>
      <c r="AB387" s="1103">
        <v>46108</v>
      </c>
      <c r="AC387" s="1102">
        <v>13</v>
      </c>
      <c r="AD387" s="1102" t="s">
        <v>1897</v>
      </c>
      <c r="AF387" s="1102" t="s">
        <v>1643</v>
      </c>
      <c r="AG387" s="1102" t="s">
        <v>123</v>
      </c>
      <c r="AH387" s="1102" t="s">
        <v>124</v>
      </c>
      <c r="AI387" s="1103">
        <v>46114</v>
      </c>
      <c r="AJ387" s="1103">
        <v>46115</v>
      </c>
      <c r="AK387" s="1103">
        <v>46117</v>
      </c>
      <c r="AL387" s="1103">
        <v>46156</v>
      </c>
      <c r="AM387" s="1103">
        <v>46156</v>
      </c>
      <c r="AN387" s="1103">
        <v>46158</v>
      </c>
      <c r="AO387" s="1102" t="s">
        <v>402</v>
      </c>
      <c r="AP387" s="1102" t="s">
        <v>1898</v>
      </c>
      <c r="AQ387" s="1102" t="s">
        <v>80</v>
      </c>
      <c r="AR387" s="1102" t="s">
        <v>1899</v>
      </c>
      <c r="AS387" s="1102" t="s">
        <v>1900</v>
      </c>
      <c r="AT387" s="1102" t="s">
        <v>1900</v>
      </c>
      <c r="AU387" s="1102">
        <v>41</v>
      </c>
      <c r="AW387" s="1103">
        <v>46158</v>
      </c>
      <c r="AX387" s="1102" t="s">
        <v>973</v>
      </c>
      <c r="AY387" s="1103">
        <v>46169</v>
      </c>
      <c r="AZ387" s="1102">
        <v>0</v>
      </c>
      <c r="BA387" s="1103">
        <v>46158</v>
      </c>
      <c r="BB387" s="1102">
        <v>2026</v>
      </c>
      <c r="BC387" s="1102">
        <v>5</v>
      </c>
      <c r="BD387" s="1102">
        <v>20</v>
      </c>
      <c r="BE387" s="1102">
        <v>33</v>
      </c>
      <c r="BF387" s="1102">
        <v>660</v>
      </c>
      <c r="BG387" s="1102" t="s">
        <v>108</v>
      </c>
      <c r="BH387" s="1102" t="s">
        <v>86</v>
      </c>
    </row>
    <row r="388" spans="1:60">
      <c r="A388" s="1102" t="s">
        <v>1901</v>
      </c>
      <c r="B388" s="1102" t="s">
        <v>111</v>
      </c>
      <c r="C388" s="1102" t="s">
        <v>1902</v>
      </c>
      <c r="D388" s="1102" t="s">
        <v>63</v>
      </c>
      <c r="E388" s="1102" t="s">
        <v>144</v>
      </c>
      <c r="F388" s="1102" t="s">
        <v>145</v>
      </c>
      <c r="G388" s="1102" t="s">
        <v>402</v>
      </c>
      <c r="H388" s="1102" t="s">
        <v>1903</v>
      </c>
      <c r="I388" s="1102" t="s">
        <v>869</v>
      </c>
      <c r="J388" s="1102" t="s">
        <v>1903</v>
      </c>
      <c r="K388" s="1102" t="s">
        <v>1904</v>
      </c>
      <c r="M388" s="1102" t="s">
        <v>840</v>
      </c>
      <c r="N388" s="1102">
        <v>46111</v>
      </c>
      <c r="O388" s="1102" t="s">
        <v>132</v>
      </c>
      <c r="P388" s="1102" t="s">
        <v>1905</v>
      </c>
      <c r="Q388" s="1102" t="s">
        <v>1906</v>
      </c>
      <c r="R388" s="1102" t="s">
        <v>73</v>
      </c>
      <c r="S388" s="1102" t="s">
        <v>992</v>
      </c>
      <c r="T388" s="1102">
        <v>555</v>
      </c>
      <c r="U388" s="1102">
        <v>2640</v>
      </c>
      <c r="V388" s="1102">
        <v>1.4652000000000001</v>
      </c>
      <c r="W388" s="1102">
        <v>80</v>
      </c>
      <c r="X388" s="1102">
        <v>4</v>
      </c>
      <c r="Y388" s="1102" t="s">
        <v>75</v>
      </c>
      <c r="Z388" s="1102" t="s">
        <v>75</v>
      </c>
      <c r="AA388" s="1102" t="s">
        <v>1907</v>
      </c>
      <c r="AB388" s="1103">
        <v>46106</v>
      </c>
      <c r="AC388" s="1102">
        <v>13</v>
      </c>
      <c r="AD388" s="1102" t="s">
        <v>1908</v>
      </c>
      <c r="AF388" s="1102" t="s">
        <v>1643</v>
      </c>
      <c r="AG388" s="1102" t="s">
        <v>123</v>
      </c>
      <c r="AH388" s="1102" t="s">
        <v>124</v>
      </c>
      <c r="AI388" s="1103">
        <v>46111</v>
      </c>
      <c r="AJ388" s="1103">
        <v>46114</v>
      </c>
      <c r="AK388" s="1103">
        <v>46114</v>
      </c>
      <c r="AL388" s="1103">
        <v>46163</v>
      </c>
      <c r="AM388" s="1103">
        <v>46170</v>
      </c>
      <c r="AN388" s="1103">
        <v>46171</v>
      </c>
      <c r="AO388" s="1102" t="s">
        <v>402</v>
      </c>
      <c r="AP388" s="1102" t="s">
        <v>1725</v>
      </c>
      <c r="AQ388" s="1102" t="s">
        <v>80</v>
      </c>
      <c r="AR388" s="1102" t="s">
        <v>1909</v>
      </c>
      <c r="AS388" s="1102" t="s">
        <v>1910</v>
      </c>
      <c r="AT388" s="1102" t="s">
        <v>1910</v>
      </c>
      <c r="AU388" s="1102">
        <v>57</v>
      </c>
      <c r="AW388" s="1103">
        <v>46171</v>
      </c>
      <c r="AX388" s="1102" t="s">
        <v>973</v>
      </c>
      <c r="AY388" s="1103">
        <v>46176</v>
      </c>
      <c r="AZ388" s="1102">
        <v>0</v>
      </c>
      <c r="BA388" s="1103">
        <v>46171</v>
      </c>
      <c r="BB388" s="1102">
        <v>2026</v>
      </c>
      <c r="BC388" s="1102">
        <v>5</v>
      </c>
      <c r="BD388" s="1102">
        <v>22</v>
      </c>
      <c r="BE388" s="1102">
        <v>33</v>
      </c>
      <c r="BF388" s="1102">
        <v>660</v>
      </c>
      <c r="BG388" s="1102" t="s">
        <v>108</v>
      </c>
      <c r="BH388" s="1102" t="s">
        <v>86</v>
      </c>
    </row>
    <row r="389" spans="1:60">
      <c r="A389" s="1102" t="s">
        <v>1911</v>
      </c>
      <c r="B389" s="1102" t="s">
        <v>111</v>
      </c>
      <c r="C389" s="1102" t="s">
        <v>1902</v>
      </c>
      <c r="D389" s="1102" t="s">
        <v>63</v>
      </c>
      <c r="E389" s="1102" t="s">
        <v>144</v>
      </c>
      <c r="F389" s="1102" t="s">
        <v>145</v>
      </c>
      <c r="G389" s="1102" t="s">
        <v>402</v>
      </c>
      <c r="H389" s="1102" t="s">
        <v>1912</v>
      </c>
      <c r="I389" s="1102" t="s">
        <v>869</v>
      </c>
      <c r="J389" s="1102" t="s">
        <v>1913</v>
      </c>
      <c r="K389" s="1102" t="s">
        <v>1914</v>
      </c>
      <c r="M389" s="1102" t="s">
        <v>840</v>
      </c>
      <c r="N389" s="1102">
        <v>46111</v>
      </c>
      <c r="O389" s="1102" t="s">
        <v>132</v>
      </c>
      <c r="P389" s="1102" t="s">
        <v>1905</v>
      </c>
      <c r="Q389" s="1102" t="s">
        <v>1906</v>
      </c>
      <c r="R389" s="1102" t="s">
        <v>73</v>
      </c>
      <c r="S389" s="1102" t="s">
        <v>992</v>
      </c>
      <c r="T389" s="1102">
        <v>555</v>
      </c>
      <c r="U389" s="1102">
        <v>1320</v>
      </c>
      <c r="V389" s="1102">
        <v>0.73260000000000003</v>
      </c>
      <c r="W389" s="1102">
        <v>40</v>
      </c>
      <c r="X389" s="1102">
        <v>2</v>
      </c>
      <c r="Y389" s="1102" t="s">
        <v>75</v>
      </c>
      <c r="Z389" s="1102" t="s">
        <v>75</v>
      </c>
      <c r="AA389" s="1102" t="s">
        <v>1907</v>
      </c>
      <c r="AB389" s="1103">
        <v>46106</v>
      </c>
      <c r="AC389" s="1102">
        <v>13</v>
      </c>
      <c r="AD389" s="1102" t="s">
        <v>1915</v>
      </c>
      <c r="AF389" s="1102" t="s">
        <v>1643</v>
      </c>
      <c r="AG389" s="1102" t="s">
        <v>123</v>
      </c>
      <c r="AH389" s="1102" t="s">
        <v>124</v>
      </c>
      <c r="AI389" s="1103">
        <v>46111</v>
      </c>
      <c r="AJ389" s="1103">
        <v>46114</v>
      </c>
      <c r="AK389" s="1103">
        <v>46114</v>
      </c>
      <c r="AL389" s="1103">
        <v>46163</v>
      </c>
      <c r="AM389" s="1103">
        <v>46170</v>
      </c>
      <c r="AN389" s="1103">
        <v>46171</v>
      </c>
      <c r="AO389" s="1102" t="s">
        <v>402</v>
      </c>
      <c r="AP389" s="1102" t="s">
        <v>1725</v>
      </c>
      <c r="AQ389" s="1102" t="s">
        <v>80</v>
      </c>
      <c r="AR389" s="1102" t="s">
        <v>1916</v>
      </c>
      <c r="AS389" s="1102" t="s">
        <v>1917</v>
      </c>
      <c r="AT389" s="1102" t="s">
        <v>1917</v>
      </c>
      <c r="AU389" s="1102">
        <v>57</v>
      </c>
      <c r="AW389" s="1103">
        <v>46171</v>
      </c>
      <c r="AX389" s="1102" t="s">
        <v>973</v>
      </c>
      <c r="AY389" s="1103">
        <v>46176</v>
      </c>
      <c r="AZ389" s="1102">
        <v>0</v>
      </c>
      <c r="BA389" s="1103">
        <v>46171</v>
      </c>
      <c r="BB389" s="1102">
        <v>2026</v>
      </c>
      <c r="BC389" s="1102">
        <v>5</v>
      </c>
      <c r="BD389" s="1102">
        <v>22</v>
      </c>
      <c r="BE389" s="1102">
        <v>33</v>
      </c>
      <c r="BF389" s="1102">
        <v>660</v>
      </c>
      <c r="BG389" s="1102" t="s">
        <v>108</v>
      </c>
      <c r="BH389" s="1102" t="s">
        <v>86</v>
      </c>
    </row>
    <row r="390" spans="1:60">
      <c r="A390" s="1102" t="s">
        <v>1918</v>
      </c>
      <c r="B390" s="1102" t="s">
        <v>111</v>
      </c>
      <c r="C390" s="1102" t="s">
        <v>1902</v>
      </c>
      <c r="D390" s="1102" t="s">
        <v>63</v>
      </c>
      <c r="E390" s="1102" t="s">
        <v>144</v>
      </c>
      <c r="F390" s="1102" t="s">
        <v>145</v>
      </c>
      <c r="G390" s="1102" t="s">
        <v>402</v>
      </c>
      <c r="H390" s="1102" t="s">
        <v>1912</v>
      </c>
      <c r="I390" s="1102" t="s">
        <v>869</v>
      </c>
      <c r="J390" s="1102" t="s">
        <v>1913</v>
      </c>
      <c r="K390" s="1102" t="s">
        <v>1914</v>
      </c>
      <c r="M390" s="1102" t="s">
        <v>840</v>
      </c>
      <c r="N390" s="1102">
        <v>46111</v>
      </c>
      <c r="O390" s="1102" t="s">
        <v>132</v>
      </c>
      <c r="P390" s="1102" t="s">
        <v>1905</v>
      </c>
      <c r="Q390" s="1102" t="s">
        <v>1906</v>
      </c>
      <c r="R390" s="1102" t="s">
        <v>73</v>
      </c>
      <c r="S390" s="1102" t="s">
        <v>992</v>
      </c>
      <c r="T390" s="1102">
        <v>555</v>
      </c>
      <c r="U390" s="1102">
        <v>1320</v>
      </c>
      <c r="V390" s="1102">
        <v>0.73260000000000003</v>
      </c>
      <c r="W390" s="1102">
        <v>40</v>
      </c>
      <c r="X390" s="1102">
        <v>2</v>
      </c>
      <c r="Y390" s="1102" t="s">
        <v>75</v>
      </c>
      <c r="Z390" s="1102" t="s">
        <v>75</v>
      </c>
      <c r="AA390" s="1102" t="s">
        <v>1907</v>
      </c>
      <c r="AB390" s="1103">
        <v>46108</v>
      </c>
      <c r="AC390" s="1102">
        <v>13</v>
      </c>
      <c r="AD390" s="1102" t="s">
        <v>1919</v>
      </c>
      <c r="AF390" s="1102" t="s">
        <v>1643</v>
      </c>
      <c r="AG390" s="1102" t="s">
        <v>123</v>
      </c>
      <c r="AH390" s="1102" t="s">
        <v>124</v>
      </c>
      <c r="AI390" s="1103">
        <v>46114</v>
      </c>
      <c r="AJ390" s="1103">
        <v>46116</v>
      </c>
      <c r="AK390" s="1103">
        <v>46116</v>
      </c>
      <c r="AL390" s="1103">
        <v>46156</v>
      </c>
      <c r="AM390" s="1103">
        <v>46164</v>
      </c>
      <c r="AN390" s="1103">
        <v>46165</v>
      </c>
      <c r="AO390" s="1102" t="s">
        <v>402</v>
      </c>
      <c r="AP390" s="1102" t="s">
        <v>1920</v>
      </c>
      <c r="AQ390" s="1102" t="s">
        <v>80</v>
      </c>
      <c r="AR390" s="1102" t="s">
        <v>1921</v>
      </c>
      <c r="AS390" s="1102" t="s">
        <v>1922</v>
      </c>
      <c r="AT390" s="1102" t="s">
        <v>1922</v>
      </c>
      <c r="AU390" s="1102">
        <v>49</v>
      </c>
      <c r="AW390" s="1103">
        <v>46165</v>
      </c>
      <c r="AX390" s="1102" t="s">
        <v>973</v>
      </c>
      <c r="AY390" s="1103">
        <v>46169</v>
      </c>
      <c r="AZ390" s="1102">
        <v>0</v>
      </c>
      <c r="BA390" s="1103">
        <v>46165</v>
      </c>
      <c r="BB390" s="1102">
        <v>2026</v>
      </c>
      <c r="BC390" s="1102">
        <v>5</v>
      </c>
      <c r="BD390" s="1102">
        <v>21</v>
      </c>
      <c r="BE390" s="1102">
        <v>33</v>
      </c>
      <c r="BF390" s="1102">
        <v>660</v>
      </c>
      <c r="BG390" s="1102" t="s">
        <v>108</v>
      </c>
      <c r="BH390" s="1102" t="s">
        <v>86</v>
      </c>
    </row>
    <row r="391" spans="1:60">
      <c r="A391" s="1102" t="s">
        <v>1923</v>
      </c>
      <c r="B391" s="1102" t="s">
        <v>1757</v>
      </c>
      <c r="C391" s="1102" t="s">
        <v>1593</v>
      </c>
      <c r="D391" s="1102" t="s">
        <v>63</v>
      </c>
      <c r="E391" s="1102" t="s">
        <v>144</v>
      </c>
      <c r="F391" s="1102" t="s">
        <v>145</v>
      </c>
      <c r="G391" s="1102" t="s">
        <v>402</v>
      </c>
      <c r="H391" s="1102" t="s">
        <v>1029</v>
      </c>
      <c r="I391" s="1102" t="s">
        <v>689</v>
      </c>
      <c r="J391" s="1102" t="s">
        <v>1924</v>
      </c>
      <c r="K391" s="1102" t="s">
        <v>1925</v>
      </c>
      <c r="M391" s="1102" t="s">
        <v>840</v>
      </c>
      <c r="N391" s="1102">
        <v>46104</v>
      </c>
      <c r="O391" s="1102" t="s">
        <v>70</v>
      </c>
      <c r="P391" s="1102" t="s">
        <v>71</v>
      </c>
      <c r="Q391" s="1102" t="s">
        <v>72</v>
      </c>
      <c r="R391" s="1102" t="s">
        <v>73</v>
      </c>
      <c r="S391" s="1102" t="s">
        <v>967</v>
      </c>
      <c r="T391" s="1102">
        <v>500</v>
      </c>
      <c r="U391" s="1102">
        <v>2592</v>
      </c>
      <c r="V391" s="1102">
        <v>1.296</v>
      </c>
      <c r="W391" s="1102">
        <v>72</v>
      </c>
      <c r="X391" s="1102">
        <v>3</v>
      </c>
      <c r="Y391" s="1102" t="s">
        <v>75</v>
      </c>
      <c r="Z391" s="1102" t="s">
        <v>75</v>
      </c>
      <c r="AA391" s="1102" t="s">
        <v>1926</v>
      </c>
      <c r="AB391" s="1103">
        <v>46105</v>
      </c>
      <c r="AC391" s="1102">
        <v>13</v>
      </c>
      <c r="AD391" s="1102" t="s">
        <v>1927</v>
      </c>
      <c r="AF391" s="1102" t="s">
        <v>1762</v>
      </c>
      <c r="AG391" s="1102" t="s">
        <v>123</v>
      </c>
      <c r="AH391" s="1102" t="s">
        <v>888</v>
      </c>
      <c r="AI391" s="1103">
        <v>46108</v>
      </c>
      <c r="AJ391" s="1103">
        <v>46109</v>
      </c>
      <c r="AK391" s="1103">
        <v>46109</v>
      </c>
      <c r="AL391" s="1103">
        <v>46172</v>
      </c>
      <c r="AM391" s="1103">
        <v>46172</v>
      </c>
      <c r="AN391" s="1103">
        <v>46174</v>
      </c>
      <c r="AO391" s="1102" t="s">
        <v>402</v>
      </c>
      <c r="AP391" s="1102" t="s">
        <v>1928</v>
      </c>
      <c r="AQ391" s="1102" t="s">
        <v>161</v>
      </c>
      <c r="AR391" s="1102" t="s">
        <v>1929</v>
      </c>
      <c r="AS391" s="1102" t="s">
        <v>1930</v>
      </c>
      <c r="AT391" s="1102">
        <v>267777421</v>
      </c>
      <c r="AU391" s="1102">
        <v>65</v>
      </c>
      <c r="AW391" s="1103">
        <v>46174</v>
      </c>
      <c r="AX391" s="1102" t="s">
        <v>973</v>
      </c>
      <c r="AY391" s="1103">
        <v>46184</v>
      </c>
      <c r="AZ391" s="1102">
        <v>0</v>
      </c>
      <c r="BA391" s="1103">
        <v>46174</v>
      </c>
      <c r="BB391" s="1102">
        <v>2026</v>
      </c>
      <c r="BC391" s="1102">
        <v>6</v>
      </c>
      <c r="BD391" s="1102">
        <v>23</v>
      </c>
      <c r="BE391" s="1102">
        <v>36</v>
      </c>
      <c r="BF391" s="1102">
        <v>864</v>
      </c>
      <c r="BG391" s="1102" t="s">
        <v>85</v>
      </c>
      <c r="BH391" s="1102" t="s">
        <v>109</v>
      </c>
    </row>
    <row r="392" spans="1:60">
      <c r="A392" s="1102" t="s">
        <v>1931</v>
      </c>
      <c r="B392" s="1102" t="s">
        <v>1757</v>
      </c>
      <c r="C392" s="1102" t="s">
        <v>1593</v>
      </c>
      <c r="D392" s="1102" t="s">
        <v>63</v>
      </c>
      <c r="E392" s="1102" t="s">
        <v>144</v>
      </c>
      <c r="F392" s="1102" t="s">
        <v>145</v>
      </c>
      <c r="G392" s="1102" t="s">
        <v>402</v>
      </c>
      <c r="H392" s="1102" t="s">
        <v>1029</v>
      </c>
      <c r="I392" s="1102" t="s">
        <v>689</v>
      </c>
      <c r="J392" s="1102" t="s">
        <v>1924</v>
      </c>
      <c r="K392" s="1102" t="s">
        <v>1925</v>
      </c>
      <c r="M392" s="1102" t="s">
        <v>840</v>
      </c>
      <c r="N392" s="1102">
        <v>46104</v>
      </c>
      <c r="O392" s="1102" t="s">
        <v>70</v>
      </c>
      <c r="P392" s="1102" t="s">
        <v>71</v>
      </c>
      <c r="Q392" s="1102" t="s">
        <v>72</v>
      </c>
      <c r="R392" s="1102" t="s">
        <v>73</v>
      </c>
      <c r="S392" s="1102" t="s">
        <v>967</v>
      </c>
      <c r="T392" s="1102">
        <v>500</v>
      </c>
      <c r="U392" s="1102">
        <v>1728</v>
      </c>
      <c r="V392" s="1102">
        <v>0.86399999999999999</v>
      </c>
      <c r="W392" s="1102">
        <v>48</v>
      </c>
      <c r="X392" s="1102">
        <v>2</v>
      </c>
      <c r="Y392" s="1102" t="s">
        <v>75</v>
      </c>
      <c r="Z392" s="1102" t="s">
        <v>75</v>
      </c>
      <c r="AA392" s="1102" t="s">
        <v>1926</v>
      </c>
      <c r="AB392" s="1103">
        <v>46105</v>
      </c>
      <c r="AC392" s="1102">
        <v>13</v>
      </c>
      <c r="AD392" s="1102" t="s">
        <v>1932</v>
      </c>
      <c r="AF392" s="1102" t="s">
        <v>1762</v>
      </c>
      <c r="AG392" s="1102" t="s">
        <v>123</v>
      </c>
      <c r="AH392" s="1102" t="s">
        <v>888</v>
      </c>
      <c r="AI392" s="1103">
        <v>46108</v>
      </c>
      <c r="AJ392" s="1103">
        <v>46109</v>
      </c>
      <c r="AK392" s="1103">
        <v>46109</v>
      </c>
      <c r="AL392" s="1103">
        <v>46172</v>
      </c>
      <c r="AM392" s="1103">
        <v>46172</v>
      </c>
      <c r="AN392" s="1103">
        <v>46174</v>
      </c>
      <c r="AO392" s="1102" t="s">
        <v>402</v>
      </c>
      <c r="AP392" s="1102" t="s">
        <v>1928</v>
      </c>
      <c r="AQ392" s="1102" t="s">
        <v>161</v>
      </c>
      <c r="AR392" s="1102" t="s">
        <v>1929</v>
      </c>
      <c r="AS392" s="1102" t="s">
        <v>1930</v>
      </c>
      <c r="AT392" s="1102">
        <v>267777421</v>
      </c>
      <c r="AU392" s="1102">
        <v>65</v>
      </c>
      <c r="AW392" s="1103">
        <v>46174</v>
      </c>
      <c r="AX392" s="1102" t="s">
        <v>973</v>
      </c>
      <c r="AY392" s="1103">
        <v>46184</v>
      </c>
      <c r="AZ392" s="1102">
        <v>0</v>
      </c>
      <c r="BA392" s="1103">
        <v>46174</v>
      </c>
      <c r="BB392" s="1102">
        <v>2026</v>
      </c>
      <c r="BC392" s="1102">
        <v>6</v>
      </c>
      <c r="BD392" s="1102">
        <v>23</v>
      </c>
      <c r="BE392" s="1102">
        <v>36</v>
      </c>
      <c r="BF392" s="1102">
        <v>864</v>
      </c>
      <c r="BG392" s="1102" t="s">
        <v>85</v>
      </c>
      <c r="BH392" s="1102" t="s">
        <v>109</v>
      </c>
    </row>
    <row r="393" spans="1:60">
      <c r="A393" s="1102" t="s">
        <v>1933</v>
      </c>
      <c r="B393" s="1102" t="s">
        <v>61</v>
      </c>
      <c r="C393" s="1102" t="s">
        <v>1838</v>
      </c>
      <c r="D393" s="1102" t="s">
        <v>63</v>
      </c>
      <c r="E393" s="1102" t="s">
        <v>64</v>
      </c>
      <c r="F393" s="1102" t="s">
        <v>65</v>
      </c>
      <c r="G393" s="1102" t="s">
        <v>402</v>
      </c>
      <c r="H393" s="1102" t="s">
        <v>67</v>
      </c>
      <c r="I393" s="1102" t="s">
        <v>869</v>
      </c>
      <c r="J393" s="1102" t="s">
        <v>96</v>
      </c>
      <c r="M393" s="1102" t="s">
        <v>68</v>
      </c>
      <c r="N393" s="1102">
        <v>46104</v>
      </c>
      <c r="O393" s="1102" t="s">
        <v>70</v>
      </c>
      <c r="P393" s="1102" t="s">
        <v>204</v>
      </c>
      <c r="Q393" s="1102" t="s">
        <v>205</v>
      </c>
      <c r="R393" s="1102" t="s">
        <v>73</v>
      </c>
      <c r="S393" s="1102" t="s">
        <v>967</v>
      </c>
      <c r="T393" s="1102">
        <v>455</v>
      </c>
      <c r="U393" s="1102">
        <v>936</v>
      </c>
      <c r="V393" s="1102">
        <v>0.42587999999999998</v>
      </c>
      <c r="W393" s="1102">
        <v>26</v>
      </c>
      <c r="X393" s="1102">
        <v>1</v>
      </c>
      <c r="Y393" s="1102" t="s">
        <v>951</v>
      </c>
      <c r="Z393" s="1102" t="s">
        <v>75</v>
      </c>
      <c r="AB393" s="1103">
        <v>46106</v>
      </c>
      <c r="AC393" s="1102">
        <v>13</v>
      </c>
      <c r="AD393" s="1102" t="s">
        <v>1934</v>
      </c>
      <c r="AF393" s="1102" t="s">
        <v>1935</v>
      </c>
      <c r="AG393" s="1102" t="s">
        <v>61</v>
      </c>
      <c r="AH393" s="1102" t="s">
        <v>78</v>
      </c>
      <c r="AI393" s="1103">
        <v>46110</v>
      </c>
      <c r="AJ393" s="1103">
        <v>46110</v>
      </c>
      <c r="AK393" s="1103">
        <v>46110</v>
      </c>
      <c r="AL393" s="1103">
        <v>46168</v>
      </c>
      <c r="AM393" s="1103">
        <v>46190</v>
      </c>
      <c r="AN393" s="1103">
        <v>46191</v>
      </c>
      <c r="AO393" s="1102" t="s">
        <v>402</v>
      </c>
      <c r="AP393" s="1102" t="s">
        <v>1936</v>
      </c>
      <c r="AQ393" s="1102" t="s">
        <v>80</v>
      </c>
      <c r="AR393" s="1102" t="s">
        <v>1937</v>
      </c>
      <c r="AS393" s="1102" t="s">
        <v>1938</v>
      </c>
      <c r="AT393" s="1102" t="s">
        <v>1938</v>
      </c>
      <c r="AU393" s="1102">
        <v>81</v>
      </c>
      <c r="AW393" s="1103">
        <v>46191</v>
      </c>
      <c r="AX393" s="1102" t="s">
        <v>973</v>
      </c>
      <c r="AY393" s="1103">
        <v>46204</v>
      </c>
      <c r="AZ393" s="1102">
        <v>8</v>
      </c>
      <c r="BA393" s="1103">
        <v>46199</v>
      </c>
      <c r="BB393" s="1102">
        <v>2026</v>
      </c>
      <c r="BC393" s="1102">
        <v>6</v>
      </c>
      <c r="BD393" s="1102">
        <v>26</v>
      </c>
      <c r="BE393" s="1102">
        <v>36</v>
      </c>
      <c r="BF393" s="1102">
        <v>936</v>
      </c>
      <c r="BG393" s="1102" t="s">
        <v>94</v>
      </c>
      <c r="BH393" s="1102" t="s">
        <v>86</v>
      </c>
    </row>
    <row r="394" spans="1:60">
      <c r="A394" s="1102" t="s">
        <v>1939</v>
      </c>
      <c r="B394" s="1102" t="s">
        <v>61</v>
      </c>
      <c r="C394" s="1102" t="s">
        <v>1940</v>
      </c>
      <c r="D394" s="1102" t="s">
        <v>63</v>
      </c>
      <c r="E394" s="1102" t="s">
        <v>64</v>
      </c>
      <c r="F394" s="1102" t="s">
        <v>65</v>
      </c>
      <c r="G394" s="1102" t="s">
        <v>402</v>
      </c>
      <c r="H394" s="1102" t="s">
        <v>67</v>
      </c>
      <c r="I394" s="1102" t="s">
        <v>869</v>
      </c>
      <c r="J394" s="1102" t="s">
        <v>96</v>
      </c>
      <c r="M394" s="1102" t="s">
        <v>68</v>
      </c>
      <c r="N394" s="1102">
        <v>46104</v>
      </c>
      <c r="O394" s="1102" t="s">
        <v>70</v>
      </c>
      <c r="P394" s="1102" t="s">
        <v>91</v>
      </c>
      <c r="Q394" s="1102" t="s">
        <v>92</v>
      </c>
      <c r="R394" s="1102" t="s">
        <v>73</v>
      </c>
      <c r="S394" s="1102" t="s">
        <v>967</v>
      </c>
      <c r="T394" s="1102">
        <v>450</v>
      </c>
      <c r="U394" s="1102">
        <v>936</v>
      </c>
      <c r="V394" s="1102">
        <v>0.42120000000000002</v>
      </c>
      <c r="W394" s="1102">
        <v>26</v>
      </c>
      <c r="X394" s="1102">
        <v>1</v>
      </c>
      <c r="Y394" s="1102" t="s">
        <v>951</v>
      </c>
      <c r="Z394" s="1102" t="s">
        <v>75</v>
      </c>
      <c r="AA394" s="1102" t="s">
        <v>1907</v>
      </c>
      <c r="AB394" s="1103">
        <v>46106</v>
      </c>
      <c r="AC394" s="1102">
        <v>13</v>
      </c>
      <c r="AD394" s="1102" t="s">
        <v>1941</v>
      </c>
      <c r="AF394" s="1102" t="s">
        <v>1935</v>
      </c>
      <c r="AG394" s="1102" t="s">
        <v>61</v>
      </c>
      <c r="AH394" s="1102" t="s">
        <v>78</v>
      </c>
      <c r="AI394" s="1103">
        <v>46110</v>
      </c>
      <c r="AJ394" s="1103">
        <v>46110</v>
      </c>
      <c r="AK394" s="1103">
        <v>46110</v>
      </c>
      <c r="AL394" s="1103">
        <v>46168</v>
      </c>
      <c r="AM394" s="1103">
        <v>46190</v>
      </c>
      <c r="AN394" s="1103">
        <v>46191</v>
      </c>
      <c r="AO394" s="1102" t="s">
        <v>402</v>
      </c>
      <c r="AP394" s="1102" t="s">
        <v>1936</v>
      </c>
      <c r="AQ394" s="1102" t="s">
        <v>80</v>
      </c>
      <c r="AR394" s="1102" t="s">
        <v>1937</v>
      </c>
      <c r="AS394" s="1102" t="s">
        <v>1938</v>
      </c>
      <c r="AT394" s="1102" t="s">
        <v>1938</v>
      </c>
      <c r="AU394" s="1102">
        <v>81</v>
      </c>
      <c r="AW394" s="1103">
        <v>46191</v>
      </c>
      <c r="AX394" s="1102" t="s">
        <v>973</v>
      </c>
      <c r="AY394" s="1103">
        <v>46204</v>
      </c>
      <c r="AZ394" s="1102">
        <v>8</v>
      </c>
      <c r="BA394" s="1103">
        <v>46199</v>
      </c>
      <c r="BB394" s="1102">
        <v>2026</v>
      </c>
      <c r="BC394" s="1102">
        <v>6</v>
      </c>
      <c r="BD394" s="1102">
        <v>26</v>
      </c>
      <c r="BE394" s="1102">
        <v>36</v>
      </c>
      <c r="BF394" s="1102">
        <v>936</v>
      </c>
      <c r="BG394" s="1102" t="s">
        <v>94</v>
      </c>
      <c r="BH394" s="1102" t="s">
        <v>86</v>
      </c>
    </row>
    <row r="395" spans="1:60">
      <c r="A395" s="1102" t="s">
        <v>1942</v>
      </c>
      <c r="B395" s="1102" t="s">
        <v>1757</v>
      </c>
      <c r="C395" s="1102" t="s">
        <v>1593</v>
      </c>
      <c r="D395" s="1102" t="s">
        <v>63</v>
      </c>
      <c r="E395" s="1102" t="s">
        <v>144</v>
      </c>
      <c r="F395" s="1102" t="s">
        <v>145</v>
      </c>
      <c r="G395" s="1102" t="s">
        <v>402</v>
      </c>
      <c r="H395" s="1102" t="s">
        <v>881</v>
      </c>
      <c r="I395" s="1102" t="s">
        <v>689</v>
      </c>
      <c r="J395" s="1102" t="s">
        <v>1758</v>
      </c>
      <c r="K395" s="1102" t="s">
        <v>1759</v>
      </c>
      <c r="M395" s="1102" t="s">
        <v>840</v>
      </c>
      <c r="N395" s="1102">
        <v>46090</v>
      </c>
      <c r="O395" s="1102" t="s">
        <v>70</v>
      </c>
      <c r="P395" s="1102" t="s">
        <v>71</v>
      </c>
      <c r="Q395" s="1102" t="s">
        <v>72</v>
      </c>
      <c r="R395" s="1102" t="s">
        <v>73</v>
      </c>
      <c r="S395" s="1102" t="s">
        <v>967</v>
      </c>
      <c r="T395" s="1102">
        <v>500</v>
      </c>
      <c r="U395" s="1102">
        <v>2592</v>
      </c>
      <c r="V395" s="1102">
        <v>1.296</v>
      </c>
      <c r="W395" s="1102">
        <v>72</v>
      </c>
      <c r="X395" s="1102">
        <v>3</v>
      </c>
      <c r="Y395" s="1102" t="s">
        <v>75</v>
      </c>
      <c r="Z395" s="1102" t="s">
        <v>75</v>
      </c>
      <c r="AA395" s="1102" t="s">
        <v>1760</v>
      </c>
      <c r="AB395" s="1103">
        <v>46117</v>
      </c>
      <c r="AC395" s="1102">
        <v>14</v>
      </c>
      <c r="AD395" s="1102" t="s">
        <v>1943</v>
      </c>
      <c r="AF395" s="1102" t="s">
        <v>1762</v>
      </c>
      <c r="AG395" s="1102" t="s">
        <v>123</v>
      </c>
      <c r="AH395" s="1102" t="s">
        <v>888</v>
      </c>
      <c r="AI395" s="1103">
        <v>46120</v>
      </c>
      <c r="AJ395" s="1103">
        <v>46120</v>
      </c>
      <c r="AK395" s="1103">
        <v>46120</v>
      </c>
      <c r="AL395" s="1103">
        <v>46169</v>
      </c>
      <c r="AM395" s="1103">
        <v>46169</v>
      </c>
      <c r="AN395" s="1103">
        <v>46169</v>
      </c>
      <c r="AO395" s="1102" t="s">
        <v>402</v>
      </c>
      <c r="AP395" s="1102" t="s">
        <v>1944</v>
      </c>
      <c r="AQ395" s="1102" t="s">
        <v>80</v>
      </c>
      <c r="AR395" s="1102" t="s">
        <v>1945</v>
      </c>
      <c r="AS395" s="1102" t="s">
        <v>1946</v>
      </c>
      <c r="AT395" s="1102" t="s">
        <v>1946</v>
      </c>
      <c r="AU395" s="1102">
        <v>49</v>
      </c>
      <c r="AW395" s="1103">
        <v>46169</v>
      </c>
      <c r="AX395" s="1102" t="s">
        <v>973</v>
      </c>
      <c r="AY395" s="1103">
        <v>46182</v>
      </c>
      <c r="AZ395" s="1102">
        <v>0</v>
      </c>
      <c r="BA395" s="1103">
        <v>46169</v>
      </c>
      <c r="BB395" s="1102">
        <v>2026</v>
      </c>
      <c r="BC395" s="1102">
        <v>5</v>
      </c>
      <c r="BD395" s="1102">
        <v>22</v>
      </c>
      <c r="BE395" s="1102">
        <v>36</v>
      </c>
      <c r="BF395" s="1102">
        <v>864</v>
      </c>
      <c r="BG395" s="1102" t="s">
        <v>85</v>
      </c>
      <c r="BH395" s="1102" t="s">
        <v>109</v>
      </c>
    </row>
    <row r="396" spans="1:60">
      <c r="A396" s="1102" t="s">
        <v>1947</v>
      </c>
      <c r="B396" s="1102" t="s">
        <v>1757</v>
      </c>
      <c r="C396" s="1102" t="s">
        <v>1286</v>
      </c>
      <c r="D396" s="1102" t="s">
        <v>63</v>
      </c>
      <c r="E396" s="1102" t="s">
        <v>64</v>
      </c>
      <c r="F396" s="1102" t="s">
        <v>450</v>
      </c>
      <c r="G396" s="1102" t="s">
        <v>402</v>
      </c>
      <c r="H396" s="1102" t="s">
        <v>451</v>
      </c>
      <c r="I396" s="1102" t="s">
        <v>689</v>
      </c>
      <c r="J396" s="1102" t="s">
        <v>1832</v>
      </c>
      <c r="M396" s="1102" t="s">
        <v>68</v>
      </c>
      <c r="N396" s="1102">
        <v>46104</v>
      </c>
      <c r="O396" s="1102" t="s">
        <v>70</v>
      </c>
      <c r="P396" s="1102" t="s">
        <v>1151</v>
      </c>
      <c r="Q396" s="1102" t="s">
        <v>421</v>
      </c>
      <c r="R396" s="1102" t="s">
        <v>73</v>
      </c>
      <c r="S396" s="1102" t="s">
        <v>967</v>
      </c>
      <c r="T396" s="1102">
        <v>505</v>
      </c>
      <c r="U396" s="1102">
        <v>1728</v>
      </c>
      <c r="V396" s="1102">
        <v>0.87263999999999997</v>
      </c>
      <c r="W396" s="1102">
        <v>48</v>
      </c>
      <c r="X396" s="1102">
        <v>2</v>
      </c>
      <c r="Y396" s="1102" t="s">
        <v>75</v>
      </c>
      <c r="Z396" s="1102" t="s">
        <v>75</v>
      </c>
      <c r="AA396" s="1102" t="s">
        <v>1883</v>
      </c>
      <c r="AB396" s="1103">
        <v>46115</v>
      </c>
      <c r="AC396" s="1102">
        <v>14</v>
      </c>
      <c r="AD396" s="1102" t="s">
        <v>1948</v>
      </c>
      <c r="AF396" s="1102" t="s">
        <v>1762</v>
      </c>
      <c r="AG396" s="1102" t="s">
        <v>123</v>
      </c>
      <c r="AH396" s="1102" t="s">
        <v>456</v>
      </c>
      <c r="AI396" s="1103">
        <v>46118</v>
      </c>
      <c r="AJ396" s="1103">
        <v>46118</v>
      </c>
      <c r="AK396" s="1103">
        <v>46119</v>
      </c>
      <c r="AL396" s="1103">
        <v>46155</v>
      </c>
      <c r="AM396" s="1103">
        <v>46166</v>
      </c>
      <c r="AN396" s="1103">
        <v>46167</v>
      </c>
      <c r="AO396" s="1102" t="s">
        <v>402</v>
      </c>
      <c r="AP396" s="1102" t="s">
        <v>1949</v>
      </c>
      <c r="AQ396" s="1102" t="s">
        <v>80</v>
      </c>
      <c r="AR396" s="1102" t="s">
        <v>1950</v>
      </c>
      <c r="AS396" s="1102" t="s">
        <v>1951</v>
      </c>
      <c r="AT396" s="1102" t="s">
        <v>1951</v>
      </c>
      <c r="AU396" s="1102">
        <v>48</v>
      </c>
      <c r="AW396" s="1103">
        <v>46167</v>
      </c>
      <c r="AX396" s="1102" t="s">
        <v>973</v>
      </c>
      <c r="AY396" s="1103">
        <v>46180</v>
      </c>
      <c r="AZ396" s="1102">
        <v>7</v>
      </c>
      <c r="BA396" s="1103">
        <v>46174</v>
      </c>
      <c r="BB396" s="1102">
        <v>2026</v>
      </c>
      <c r="BC396" s="1102">
        <v>6</v>
      </c>
      <c r="BD396" s="1102">
        <v>23</v>
      </c>
      <c r="BE396" s="1102">
        <v>36</v>
      </c>
      <c r="BF396" s="1102">
        <v>864</v>
      </c>
      <c r="BG396" s="1102" t="s">
        <v>85</v>
      </c>
      <c r="BH396" s="1102" t="s">
        <v>109</v>
      </c>
    </row>
    <row r="397" spans="1:60">
      <c r="A397" s="1102" t="s">
        <v>1952</v>
      </c>
      <c r="B397" s="1102" t="s">
        <v>1802</v>
      </c>
      <c r="C397" s="1102" t="s">
        <v>1803</v>
      </c>
      <c r="D397" s="1102" t="s">
        <v>113</v>
      </c>
      <c r="E397" s="1102" t="s">
        <v>144</v>
      </c>
      <c r="F397" s="1102" t="s">
        <v>145</v>
      </c>
      <c r="G397" s="1102" t="s">
        <v>402</v>
      </c>
      <c r="H397" s="1102" t="s">
        <v>1449</v>
      </c>
      <c r="I397" s="1102" t="s">
        <v>822</v>
      </c>
      <c r="J397" s="1102" t="s">
        <v>1854</v>
      </c>
      <c r="K397" s="1102" t="s">
        <v>1805</v>
      </c>
      <c r="M397" s="1102" t="s">
        <v>840</v>
      </c>
      <c r="N397" s="1102">
        <v>46097</v>
      </c>
      <c r="O397" s="1102" t="s">
        <v>70</v>
      </c>
      <c r="P397" s="1102" t="s">
        <v>1806</v>
      </c>
      <c r="Q397" s="1102" t="s">
        <v>1807</v>
      </c>
      <c r="R397" s="1102" t="s">
        <v>331</v>
      </c>
      <c r="S397" s="1102" t="s">
        <v>1808</v>
      </c>
      <c r="T397" s="1102">
        <v>720</v>
      </c>
      <c r="U397" s="1102">
        <v>1782</v>
      </c>
      <c r="V397" s="1102">
        <v>1.28304</v>
      </c>
      <c r="W397" s="1102">
        <v>54</v>
      </c>
      <c r="X397" s="1102">
        <v>3</v>
      </c>
      <c r="Y397" s="1102" t="s">
        <v>75</v>
      </c>
      <c r="Z397" s="1102" t="s">
        <v>75</v>
      </c>
      <c r="AA397" s="1102" t="s">
        <v>1809</v>
      </c>
      <c r="AB397" s="1103">
        <v>46115</v>
      </c>
      <c r="AC397" s="1102">
        <v>14</v>
      </c>
      <c r="AD397" s="1102" t="s">
        <v>1953</v>
      </c>
      <c r="AF397" s="1102" t="s">
        <v>945</v>
      </c>
      <c r="AG397" s="1102" t="s">
        <v>123</v>
      </c>
      <c r="AH397" s="1102" t="s">
        <v>105</v>
      </c>
      <c r="AI397" s="1103">
        <v>46118</v>
      </c>
      <c r="AJ397" s="1103">
        <v>46119</v>
      </c>
      <c r="AK397" s="1103">
        <v>46119</v>
      </c>
      <c r="AL397" s="1103">
        <v>46155</v>
      </c>
      <c r="AM397" s="1103">
        <v>46163</v>
      </c>
      <c r="AN397" s="1103">
        <v>46163</v>
      </c>
      <c r="AO397" s="1102" t="s">
        <v>402</v>
      </c>
      <c r="AP397" s="1102" t="s">
        <v>1949</v>
      </c>
      <c r="AQ397" s="1102" t="s">
        <v>80</v>
      </c>
      <c r="AR397" s="1102" t="s">
        <v>1954</v>
      </c>
      <c r="AS397" s="1102" t="s">
        <v>1955</v>
      </c>
      <c r="AT397" s="1102" t="s">
        <v>1955</v>
      </c>
      <c r="AU397" s="1102">
        <v>44</v>
      </c>
      <c r="AW397" s="1103">
        <v>46163</v>
      </c>
      <c r="AX397" s="1102" t="s">
        <v>973</v>
      </c>
      <c r="AY397" s="1103">
        <v>46154</v>
      </c>
      <c r="AZ397" s="1102">
        <v>0</v>
      </c>
      <c r="BA397" s="1103">
        <v>46163</v>
      </c>
      <c r="BB397" s="1102">
        <v>2026</v>
      </c>
      <c r="BC397" s="1102">
        <v>5</v>
      </c>
      <c r="BD397" s="1102">
        <v>21</v>
      </c>
      <c r="BE397" s="1102">
        <v>33</v>
      </c>
      <c r="BF397" s="1102">
        <v>594</v>
      </c>
      <c r="BG397" s="1102" t="s">
        <v>94</v>
      </c>
      <c r="BH397" s="1102" t="s">
        <v>109</v>
      </c>
    </row>
    <row r="398" spans="1:60">
      <c r="A398" s="1102" t="s">
        <v>1956</v>
      </c>
      <c r="B398" s="1102" t="s">
        <v>1802</v>
      </c>
      <c r="C398" s="1102" t="s">
        <v>1803</v>
      </c>
      <c r="D398" s="1102" t="s">
        <v>113</v>
      </c>
      <c r="E398" s="1102" t="s">
        <v>144</v>
      </c>
      <c r="F398" s="1102" t="s">
        <v>145</v>
      </c>
      <c r="G398" s="1102" t="s">
        <v>402</v>
      </c>
      <c r="H398" s="1102" t="s">
        <v>1449</v>
      </c>
      <c r="I398" s="1102" t="s">
        <v>822</v>
      </c>
      <c r="J398" s="1102" t="s">
        <v>1957</v>
      </c>
      <c r="K398" s="1102" t="s">
        <v>1805</v>
      </c>
      <c r="M398" s="1102" t="s">
        <v>840</v>
      </c>
      <c r="N398" s="1102">
        <v>46104</v>
      </c>
      <c r="O398" s="1102" t="s">
        <v>70</v>
      </c>
      <c r="P398" s="1102" t="s">
        <v>1806</v>
      </c>
      <c r="Q398" s="1102" t="s">
        <v>1807</v>
      </c>
      <c r="R398" s="1102" t="s">
        <v>331</v>
      </c>
      <c r="S398" s="1102" t="s">
        <v>1808</v>
      </c>
      <c r="T398" s="1102">
        <v>720</v>
      </c>
      <c r="U398" s="1102">
        <v>3564</v>
      </c>
      <c r="V398" s="1102">
        <v>2.5660799999999999</v>
      </c>
      <c r="W398" s="1102">
        <v>108</v>
      </c>
      <c r="X398" s="1102">
        <v>6</v>
      </c>
      <c r="Y398" s="1102" t="s">
        <v>75</v>
      </c>
      <c r="Z398" s="1102" t="s">
        <v>75</v>
      </c>
      <c r="AA398" s="1102" t="s">
        <v>1958</v>
      </c>
      <c r="AB398" s="1103">
        <v>46114</v>
      </c>
      <c r="AC398" s="1102">
        <v>14</v>
      </c>
      <c r="AD398" s="1102" t="s">
        <v>1959</v>
      </c>
      <c r="AF398" s="1102" t="s">
        <v>945</v>
      </c>
      <c r="AG398" s="1102" t="s">
        <v>123</v>
      </c>
      <c r="AH398" s="1102" t="s">
        <v>105</v>
      </c>
      <c r="AI398" s="1103">
        <v>46117</v>
      </c>
      <c r="AJ398" s="1103">
        <v>46118</v>
      </c>
      <c r="AK398" s="1103">
        <v>46118</v>
      </c>
      <c r="AL398" s="1103">
        <v>46154</v>
      </c>
      <c r="AM398" s="1103">
        <v>46164</v>
      </c>
      <c r="AN398" s="1103">
        <v>46164</v>
      </c>
      <c r="AO398" s="1102" t="s">
        <v>402</v>
      </c>
      <c r="AP398" s="1102" t="s">
        <v>1960</v>
      </c>
      <c r="AQ398" s="1102" t="s">
        <v>80</v>
      </c>
      <c r="AR398" s="1102" t="s">
        <v>1961</v>
      </c>
      <c r="AS398" s="1102" t="s">
        <v>1962</v>
      </c>
      <c r="AT398" s="1102" t="s">
        <v>1962</v>
      </c>
      <c r="AU398" s="1102">
        <v>46</v>
      </c>
      <c r="AW398" s="1103">
        <v>46164</v>
      </c>
      <c r="AX398" s="1102" t="s">
        <v>973</v>
      </c>
      <c r="AY398" s="1103">
        <v>46153</v>
      </c>
      <c r="AZ398" s="1102">
        <v>0</v>
      </c>
      <c r="BA398" s="1103">
        <v>46164</v>
      </c>
      <c r="BB398" s="1102">
        <v>2026</v>
      </c>
      <c r="BC398" s="1102">
        <v>5</v>
      </c>
      <c r="BD398" s="1102">
        <v>21</v>
      </c>
      <c r="BE398" s="1102">
        <v>33</v>
      </c>
      <c r="BF398" s="1102">
        <v>594</v>
      </c>
      <c r="BG398" s="1102" t="s">
        <v>94</v>
      </c>
      <c r="BH398" s="1102" t="s">
        <v>109</v>
      </c>
    </row>
    <row r="399" spans="1:60">
      <c r="A399" s="1102" t="s">
        <v>1963</v>
      </c>
      <c r="B399" s="1102" t="s">
        <v>1802</v>
      </c>
      <c r="C399" s="1102" t="s">
        <v>1803</v>
      </c>
      <c r="D399" s="1102" t="s">
        <v>113</v>
      </c>
      <c r="E399" s="1102" t="s">
        <v>144</v>
      </c>
      <c r="F399" s="1102" t="s">
        <v>145</v>
      </c>
      <c r="G399" s="1102" t="s">
        <v>402</v>
      </c>
      <c r="H399" s="1102" t="s">
        <v>1449</v>
      </c>
      <c r="I399" s="1102" t="s">
        <v>822</v>
      </c>
      <c r="J399" s="1102" t="s">
        <v>1964</v>
      </c>
      <c r="K399" s="1102" t="s">
        <v>1805</v>
      </c>
      <c r="M399" s="1102" t="s">
        <v>840</v>
      </c>
      <c r="N399" s="1102">
        <v>46104</v>
      </c>
      <c r="O399" s="1102" t="s">
        <v>70</v>
      </c>
      <c r="P399" s="1102" t="s">
        <v>1806</v>
      </c>
      <c r="Q399" s="1102" t="s">
        <v>1807</v>
      </c>
      <c r="R399" s="1102" t="s">
        <v>331</v>
      </c>
      <c r="S399" s="1102" t="s">
        <v>1808</v>
      </c>
      <c r="T399" s="1102">
        <v>720</v>
      </c>
      <c r="U399" s="1102">
        <v>1188</v>
      </c>
      <c r="V399" s="1102">
        <v>0.85536000000000001</v>
      </c>
      <c r="W399" s="1102">
        <v>36</v>
      </c>
      <c r="X399" s="1102">
        <v>2</v>
      </c>
      <c r="Y399" s="1102" t="s">
        <v>75</v>
      </c>
      <c r="Z399" s="1102" t="s">
        <v>75</v>
      </c>
      <c r="AA399" s="1102" t="s">
        <v>1958</v>
      </c>
      <c r="AB399" s="1103">
        <v>46114</v>
      </c>
      <c r="AC399" s="1102">
        <v>14</v>
      </c>
      <c r="AD399" s="1102" t="s">
        <v>1965</v>
      </c>
      <c r="AF399" s="1102" t="s">
        <v>945</v>
      </c>
      <c r="AG399" s="1102" t="s">
        <v>123</v>
      </c>
      <c r="AH399" s="1102" t="s">
        <v>105</v>
      </c>
      <c r="AI399" s="1103">
        <v>46117</v>
      </c>
      <c r="AJ399" s="1103">
        <v>46118</v>
      </c>
      <c r="AK399" s="1103">
        <v>46118</v>
      </c>
      <c r="AL399" s="1103">
        <v>46154</v>
      </c>
      <c r="AM399" s="1103">
        <v>46164</v>
      </c>
      <c r="AN399" s="1103">
        <v>46164</v>
      </c>
      <c r="AO399" s="1102" t="s">
        <v>402</v>
      </c>
      <c r="AP399" s="1102" t="s">
        <v>1960</v>
      </c>
      <c r="AQ399" s="1102" t="s">
        <v>80</v>
      </c>
      <c r="AR399" s="1102" t="s">
        <v>1966</v>
      </c>
      <c r="AS399" s="1102" t="s">
        <v>1967</v>
      </c>
      <c r="AT399" s="1102" t="s">
        <v>1967</v>
      </c>
      <c r="AU399" s="1102">
        <v>46</v>
      </c>
      <c r="AW399" s="1103">
        <v>46164</v>
      </c>
      <c r="AX399" s="1102" t="s">
        <v>973</v>
      </c>
      <c r="AY399" s="1103">
        <v>46153</v>
      </c>
      <c r="AZ399" s="1102">
        <v>0</v>
      </c>
      <c r="BA399" s="1103">
        <v>46164</v>
      </c>
      <c r="BB399" s="1102">
        <v>2026</v>
      </c>
      <c r="BC399" s="1102">
        <v>5</v>
      </c>
      <c r="BD399" s="1102">
        <v>21</v>
      </c>
      <c r="BE399" s="1102">
        <v>33</v>
      </c>
      <c r="BF399" s="1102">
        <v>594</v>
      </c>
      <c r="BG399" s="1102" t="s">
        <v>94</v>
      </c>
      <c r="BH399" s="1102" t="s">
        <v>109</v>
      </c>
    </row>
    <row r="400" spans="1:60">
      <c r="A400" s="1102" t="s">
        <v>1968</v>
      </c>
      <c r="B400" s="1102" t="s">
        <v>1802</v>
      </c>
      <c r="C400" s="1102" t="s">
        <v>1803</v>
      </c>
      <c r="D400" s="1102" t="s">
        <v>113</v>
      </c>
      <c r="E400" s="1102" t="s">
        <v>144</v>
      </c>
      <c r="F400" s="1102" t="s">
        <v>145</v>
      </c>
      <c r="G400" s="1102" t="s">
        <v>402</v>
      </c>
      <c r="H400" s="1102" t="s">
        <v>1449</v>
      </c>
      <c r="I400" s="1102" t="s">
        <v>822</v>
      </c>
      <c r="J400" s="1102" t="s">
        <v>1957</v>
      </c>
      <c r="K400" s="1102" t="s">
        <v>1805</v>
      </c>
      <c r="M400" s="1102" t="s">
        <v>840</v>
      </c>
      <c r="N400" s="1102">
        <v>46104</v>
      </c>
      <c r="O400" s="1102" t="s">
        <v>70</v>
      </c>
      <c r="P400" s="1102" t="s">
        <v>1806</v>
      </c>
      <c r="Q400" s="1102" t="s">
        <v>1807</v>
      </c>
      <c r="R400" s="1102" t="s">
        <v>331</v>
      </c>
      <c r="S400" s="1102" t="s">
        <v>1808</v>
      </c>
      <c r="T400" s="1102">
        <v>720</v>
      </c>
      <c r="U400" s="1102">
        <v>1782</v>
      </c>
      <c r="V400" s="1102">
        <v>1.28304</v>
      </c>
      <c r="W400" s="1102">
        <v>54</v>
      </c>
      <c r="X400" s="1102">
        <v>3</v>
      </c>
      <c r="Y400" s="1102" t="s">
        <v>75</v>
      </c>
      <c r="Z400" s="1102" t="s">
        <v>75</v>
      </c>
      <c r="AA400" s="1102" t="s">
        <v>1958</v>
      </c>
      <c r="AB400" s="1103">
        <v>46114</v>
      </c>
      <c r="AC400" s="1102">
        <v>14</v>
      </c>
      <c r="AD400" s="1102" t="s">
        <v>1969</v>
      </c>
      <c r="AF400" s="1102" t="s">
        <v>945</v>
      </c>
      <c r="AG400" s="1102" t="s">
        <v>123</v>
      </c>
      <c r="AH400" s="1102" t="s">
        <v>105</v>
      </c>
      <c r="AI400" s="1103">
        <v>46117</v>
      </c>
      <c r="AJ400" s="1103">
        <v>46118</v>
      </c>
      <c r="AK400" s="1103">
        <v>46118</v>
      </c>
      <c r="AL400" s="1103">
        <v>46154</v>
      </c>
      <c r="AM400" s="1103">
        <v>46164</v>
      </c>
      <c r="AN400" s="1103">
        <v>46164</v>
      </c>
      <c r="AO400" s="1102" t="s">
        <v>402</v>
      </c>
      <c r="AP400" s="1102" t="s">
        <v>1960</v>
      </c>
      <c r="AQ400" s="1102" t="s">
        <v>80</v>
      </c>
      <c r="AR400" s="1102" t="s">
        <v>1966</v>
      </c>
      <c r="AS400" s="1102" t="s">
        <v>1967</v>
      </c>
      <c r="AT400" s="1102" t="s">
        <v>1967</v>
      </c>
      <c r="AU400" s="1102">
        <v>46</v>
      </c>
      <c r="AW400" s="1103">
        <v>46164</v>
      </c>
      <c r="AX400" s="1102" t="s">
        <v>973</v>
      </c>
      <c r="AY400" s="1103">
        <v>46167</v>
      </c>
      <c r="AZ400" s="1102">
        <v>0</v>
      </c>
      <c r="BA400" s="1103">
        <v>46164</v>
      </c>
      <c r="BB400" s="1102">
        <v>2026</v>
      </c>
      <c r="BC400" s="1102">
        <v>5</v>
      </c>
      <c r="BD400" s="1102">
        <v>21</v>
      </c>
      <c r="BE400" s="1102">
        <v>33</v>
      </c>
      <c r="BF400" s="1102">
        <v>594</v>
      </c>
      <c r="BG400" s="1102" t="s">
        <v>94</v>
      </c>
      <c r="BH400" s="1102" t="s">
        <v>109</v>
      </c>
    </row>
    <row r="401" spans="1:60">
      <c r="A401" s="1102" t="s">
        <v>1970</v>
      </c>
      <c r="B401" s="1102" t="s">
        <v>1802</v>
      </c>
      <c r="C401" s="1102" t="s">
        <v>1803</v>
      </c>
      <c r="D401" s="1102" t="s">
        <v>113</v>
      </c>
      <c r="E401" s="1102" t="s">
        <v>144</v>
      </c>
      <c r="F401" s="1102" t="s">
        <v>145</v>
      </c>
      <c r="G401" s="1102" t="s">
        <v>402</v>
      </c>
      <c r="H401" s="1102" t="s">
        <v>1449</v>
      </c>
      <c r="I401" s="1102" t="s">
        <v>822</v>
      </c>
      <c r="J401" s="1102" t="s">
        <v>1964</v>
      </c>
      <c r="K401" s="1102" t="s">
        <v>1805</v>
      </c>
      <c r="M401" s="1102" t="s">
        <v>840</v>
      </c>
      <c r="N401" s="1102">
        <v>46104</v>
      </c>
      <c r="O401" s="1102" t="s">
        <v>70</v>
      </c>
      <c r="P401" s="1102" t="s">
        <v>1806</v>
      </c>
      <c r="Q401" s="1102" t="s">
        <v>1807</v>
      </c>
      <c r="R401" s="1102" t="s">
        <v>331</v>
      </c>
      <c r="S401" s="1102" t="s">
        <v>1808</v>
      </c>
      <c r="T401" s="1102">
        <v>720</v>
      </c>
      <c r="U401" s="1102">
        <v>594</v>
      </c>
      <c r="V401" s="1102">
        <v>0.42768</v>
      </c>
      <c r="W401" s="1102">
        <v>18</v>
      </c>
      <c r="X401" s="1102">
        <v>1</v>
      </c>
      <c r="Y401" s="1102" t="s">
        <v>75</v>
      </c>
      <c r="Z401" s="1102" t="s">
        <v>75</v>
      </c>
      <c r="AA401" s="1102" t="s">
        <v>1958</v>
      </c>
      <c r="AB401" s="1103">
        <v>46113</v>
      </c>
      <c r="AC401" s="1102">
        <v>14</v>
      </c>
      <c r="AD401" s="1102" t="s">
        <v>1971</v>
      </c>
      <c r="AF401" s="1102" t="s">
        <v>945</v>
      </c>
      <c r="AG401" s="1102" t="s">
        <v>123</v>
      </c>
      <c r="AH401" s="1102" t="s">
        <v>105</v>
      </c>
      <c r="AI401" s="1103">
        <v>46116</v>
      </c>
      <c r="AJ401" s="1103">
        <v>46117</v>
      </c>
      <c r="AK401" s="1103">
        <v>46117</v>
      </c>
      <c r="AL401" s="1103">
        <v>46158</v>
      </c>
      <c r="AM401" s="1103">
        <v>46159</v>
      </c>
      <c r="AN401" s="1103">
        <v>46159</v>
      </c>
      <c r="AO401" s="1102" t="s">
        <v>402</v>
      </c>
      <c r="AP401" s="1102" t="s">
        <v>1972</v>
      </c>
      <c r="AQ401" s="1102" t="s">
        <v>80</v>
      </c>
      <c r="AR401" s="1102" t="s">
        <v>1973</v>
      </c>
      <c r="AS401" s="1102" t="s">
        <v>1974</v>
      </c>
      <c r="AT401" s="1102" t="s">
        <v>1974</v>
      </c>
      <c r="AU401" s="1102">
        <v>42</v>
      </c>
      <c r="AW401" s="1103">
        <v>46159</v>
      </c>
      <c r="AX401" s="1102" t="s">
        <v>973</v>
      </c>
      <c r="AY401" s="1103">
        <v>46156</v>
      </c>
      <c r="AZ401" s="1102">
        <v>0</v>
      </c>
      <c r="BA401" s="1103">
        <v>46159</v>
      </c>
      <c r="BB401" s="1102">
        <v>2026</v>
      </c>
      <c r="BC401" s="1102">
        <v>5</v>
      </c>
      <c r="BD401" s="1102">
        <v>20</v>
      </c>
      <c r="BE401" s="1102">
        <v>33</v>
      </c>
      <c r="BF401" s="1102">
        <v>594</v>
      </c>
      <c r="BG401" s="1102" t="s">
        <v>94</v>
      </c>
      <c r="BH401" s="1102" t="s">
        <v>109</v>
      </c>
    </row>
    <row r="402" spans="1:60">
      <c r="A402" s="1102" t="s">
        <v>1975</v>
      </c>
      <c r="B402" s="1102" t="s">
        <v>111</v>
      </c>
      <c r="C402" s="1102" t="s">
        <v>1976</v>
      </c>
      <c r="D402" s="1102" t="s">
        <v>63</v>
      </c>
      <c r="E402" s="1102" t="s">
        <v>64</v>
      </c>
      <c r="F402" s="1102" t="s">
        <v>310</v>
      </c>
      <c r="G402" s="1102" t="s">
        <v>402</v>
      </c>
      <c r="H402" s="1102" t="s">
        <v>311</v>
      </c>
      <c r="I402" s="1102" t="s">
        <v>882</v>
      </c>
      <c r="J402" s="1102" t="s">
        <v>96</v>
      </c>
      <c r="M402" s="1102" t="s">
        <v>68</v>
      </c>
      <c r="N402" s="1102">
        <v>46111</v>
      </c>
      <c r="O402" s="1102" t="s">
        <v>170</v>
      </c>
      <c r="P402" s="1102" t="s">
        <v>1977</v>
      </c>
      <c r="Q402" s="1102" t="s">
        <v>1978</v>
      </c>
      <c r="R402" s="1102" t="s">
        <v>73</v>
      </c>
      <c r="S402" s="1102" t="s">
        <v>992</v>
      </c>
      <c r="T402" s="1102">
        <v>560</v>
      </c>
      <c r="U402" s="1102">
        <v>3300</v>
      </c>
      <c r="V402" s="1102">
        <v>1.8480000000000001</v>
      </c>
      <c r="W402" s="1102">
        <v>100</v>
      </c>
      <c r="X402" s="1102">
        <v>5</v>
      </c>
      <c r="Y402" s="1102" t="s">
        <v>75</v>
      </c>
      <c r="Z402" s="1102" t="s">
        <v>75</v>
      </c>
      <c r="AB402" s="1103">
        <v>46113</v>
      </c>
      <c r="AC402" s="1102">
        <v>14</v>
      </c>
      <c r="AD402" s="1102" t="s">
        <v>1979</v>
      </c>
      <c r="AF402" s="1102" t="s">
        <v>945</v>
      </c>
      <c r="AG402" s="1102" t="s">
        <v>123</v>
      </c>
      <c r="AH402" s="1102" t="s">
        <v>314</v>
      </c>
      <c r="AI402" s="1103">
        <v>46115</v>
      </c>
      <c r="AJ402" s="1103">
        <v>46119</v>
      </c>
      <c r="AK402" s="1103">
        <v>46119</v>
      </c>
      <c r="AL402" s="1103">
        <v>46162</v>
      </c>
      <c r="AM402" s="1103">
        <v>46169</v>
      </c>
      <c r="AN402" s="1103">
        <v>46169</v>
      </c>
      <c r="AO402" s="1102" t="s">
        <v>402</v>
      </c>
      <c r="AP402" s="1102" t="s">
        <v>1980</v>
      </c>
      <c r="AQ402" s="1102" t="s">
        <v>80</v>
      </c>
      <c r="AR402" s="1102" t="s">
        <v>1981</v>
      </c>
      <c r="AS402" s="1102" t="s">
        <v>1982</v>
      </c>
      <c r="AT402" s="1102" t="s">
        <v>1982</v>
      </c>
      <c r="AU402" s="1102">
        <v>50</v>
      </c>
      <c r="AW402" s="1103">
        <v>46169</v>
      </c>
      <c r="AX402" s="1102" t="s">
        <v>973</v>
      </c>
      <c r="AY402" s="1103">
        <v>46182</v>
      </c>
      <c r="AZ402" s="1102">
        <v>13</v>
      </c>
      <c r="BA402" s="1103">
        <v>46182</v>
      </c>
      <c r="BB402" s="1102">
        <v>2026</v>
      </c>
      <c r="BC402" s="1102">
        <v>6</v>
      </c>
      <c r="BD402" s="1102">
        <v>24</v>
      </c>
      <c r="BE402" s="1102">
        <v>33</v>
      </c>
      <c r="BF402" s="1102">
        <v>660</v>
      </c>
      <c r="BG402" s="1102" t="s">
        <v>108</v>
      </c>
      <c r="BH402" s="1102" t="s">
        <v>86</v>
      </c>
    </row>
    <row r="403" spans="1:60">
      <c r="A403" s="1102" t="s">
        <v>1983</v>
      </c>
      <c r="B403" s="1102" t="s">
        <v>111</v>
      </c>
      <c r="C403" s="1102" t="s">
        <v>1729</v>
      </c>
      <c r="D403" s="1102" t="s">
        <v>63</v>
      </c>
      <c r="E403" s="1102" t="s">
        <v>64</v>
      </c>
      <c r="F403" s="1102" t="s">
        <v>310</v>
      </c>
      <c r="G403" s="1102" t="s">
        <v>402</v>
      </c>
      <c r="H403" s="1102" t="s">
        <v>311</v>
      </c>
      <c r="I403" s="1102" t="s">
        <v>1395</v>
      </c>
      <c r="J403" s="1102" t="s">
        <v>96</v>
      </c>
      <c r="M403" s="1102" t="s">
        <v>68</v>
      </c>
      <c r="N403" s="1102">
        <v>46111</v>
      </c>
      <c r="O403" s="1102" t="s">
        <v>170</v>
      </c>
      <c r="P403" s="1102" t="s">
        <v>171</v>
      </c>
      <c r="Q403" s="1102" t="s">
        <v>1731</v>
      </c>
      <c r="R403" s="1102" t="s">
        <v>73</v>
      </c>
      <c r="S403" s="1102" t="s">
        <v>992</v>
      </c>
      <c r="T403" s="1102">
        <v>555</v>
      </c>
      <c r="U403" s="1102">
        <v>1980</v>
      </c>
      <c r="V403" s="1102">
        <v>1.0989</v>
      </c>
      <c r="W403" s="1102">
        <v>60</v>
      </c>
      <c r="X403" s="1102">
        <v>3</v>
      </c>
      <c r="Y403" s="1102" t="s">
        <v>75</v>
      </c>
      <c r="Z403" s="1102" t="s">
        <v>75</v>
      </c>
      <c r="AB403" s="1103">
        <v>46113</v>
      </c>
      <c r="AC403" s="1102">
        <v>14</v>
      </c>
      <c r="AD403" s="1102" t="s">
        <v>1984</v>
      </c>
      <c r="AF403" s="1102" t="s">
        <v>945</v>
      </c>
      <c r="AG403" s="1102" t="s">
        <v>123</v>
      </c>
      <c r="AH403" s="1102" t="s">
        <v>314</v>
      </c>
      <c r="AI403" s="1103">
        <v>46115</v>
      </c>
      <c r="AJ403" s="1103">
        <v>46119</v>
      </c>
      <c r="AK403" s="1103">
        <v>46119</v>
      </c>
      <c r="AL403" s="1103">
        <v>46162</v>
      </c>
      <c r="AM403" s="1103">
        <v>46169</v>
      </c>
      <c r="AN403" s="1103">
        <v>46169</v>
      </c>
      <c r="AO403" s="1102" t="s">
        <v>402</v>
      </c>
      <c r="AP403" s="1102" t="s">
        <v>1980</v>
      </c>
      <c r="AQ403" s="1102" t="s">
        <v>80</v>
      </c>
      <c r="AR403" s="1102" t="s">
        <v>1981</v>
      </c>
      <c r="AS403" s="1102" t="s">
        <v>1982</v>
      </c>
      <c r="AT403" s="1102" t="s">
        <v>1982</v>
      </c>
      <c r="AU403" s="1102">
        <v>50</v>
      </c>
      <c r="AW403" s="1103">
        <v>46169</v>
      </c>
      <c r="AX403" s="1102" t="s">
        <v>973</v>
      </c>
      <c r="AY403" s="1103">
        <v>46182</v>
      </c>
      <c r="AZ403" s="1102">
        <v>13</v>
      </c>
      <c r="BA403" s="1103">
        <v>46182</v>
      </c>
      <c r="BB403" s="1102">
        <v>2026</v>
      </c>
      <c r="BC403" s="1102">
        <v>6</v>
      </c>
      <c r="BD403" s="1102">
        <v>24</v>
      </c>
      <c r="BE403" s="1102">
        <v>33</v>
      </c>
      <c r="BF403" s="1102">
        <v>660</v>
      </c>
      <c r="BG403" s="1102" t="s">
        <v>108</v>
      </c>
      <c r="BH403" s="1102" t="s">
        <v>86</v>
      </c>
    </row>
    <row r="404" spans="1:60">
      <c r="A404" s="1102" t="s">
        <v>1985</v>
      </c>
      <c r="B404" s="1102" t="s">
        <v>111</v>
      </c>
      <c r="C404" s="1102" t="s">
        <v>1976</v>
      </c>
      <c r="D404" s="1102" t="s">
        <v>63</v>
      </c>
      <c r="E404" s="1102" t="s">
        <v>64</v>
      </c>
      <c r="F404" s="1102" t="s">
        <v>310</v>
      </c>
      <c r="G404" s="1102" t="s">
        <v>402</v>
      </c>
      <c r="H404" s="1102" t="s">
        <v>311</v>
      </c>
      <c r="I404" s="1102" t="s">
        <v>882</v>
      </c>
      <c r="J404" s="1102" t="s">
        <v>96</v>
      </c>
      <c r="M404" s="1102" t="s">
        <v>68</v>
      </c>
      <c r="N404" s="1102">
        <v>46111</v>
      </c>
      <c r="O404" s="1102" t="s">
        <v>170</v>
      </c>
      <c r="P404" s="1102" t="s">
        <v>1977</v>
      </c>
      <c r="Q404" s="1102" t="s">
        <v>1978</v>
      </c>
      <c r="R404" s="1102" t="s">
        <v>73</v>
      </c>
      <c r="S404" s="1102" t="s">
        <v>992</v>
      </c>
      <c r="T404" s="1102">
        <v>560</v>
      </c>
      <c r="U404" s="1102">
        <v>5940</v>
      </c>
      <c r="V404" s="1102">
        <v>3.3264</v>
      </c>
      <c r="W404" s="1102">
        <v>180</v>
      </c>
      <c r="X404" s="1102">
        <v>9</v>
      </c>
      <c r="Y404" s="1102" t="s">
        <v>75</v>
      </c>
      <c r="Z404" s="1102" t="s">
        <v>75</v>
      </c>
      <c r="AA404" s="1102" t="s">
        <v>1986</v>
      </c>
      <c r="AB404" s="1103">
        <v>46113</v>
      </c>
      <c r="AC404" s="1102">
        <v>14</v>
      </c>
      <c r="AD404" s="1102" t="s">
        <v>1987</v>
      </c>
      <c r="AF404" s="1102" t="s">
        <v>945</v>
      </c>
      <c r="AG404" s="1102" t="s">
        <v>123</v>
      </c>
      <c r="AH404" s="1102" t="s">
        <v>314</v>
      </c>
      <c r="AI404" s="1103">
        <v>46116</v>
      </c>
      <c r="AJ404" s="1103">
        <v>46119</v>
      </c>
      <c r="AK404" s="1103">
        <v>46119</v>
      </c>
      <c r="AL404" s="1103">
        <v>46162</v>
      </c>
      <c r="AM404" s="1103">
        <v>46169</v>
      </c>
      <c r="AN404" s="1103">
        <v>46169</v>
      </c>
      <c r="AO404" s="1102" t="s">
        <v>402</v>
      </c>
      <c r="AP404" s="1102" t="s">
        <v>1980</v>
      </c>
      <c r="AQ404" s="1102" t="s">
        <v>80</v>
      </c>
      <c r="AR404" s="1102" t="s">
        <v>1988</v>
      </c>
      <c r="AS404" s="1102" t="s">
        <v>1989</v>
      </c>
      <c r="AT404" s="1102" t="s">
        <v>1989</v>
      </c>
      <c r="AU404" s="1102">
        <v>50</v>
      </c>
      <c r="AW404" s="1103">
        <v>46169</v>
      </c>
      <c r="AX404" s="1102" t="s">
        <v>973</v>
      </c>
      <c r="AY404" s="1103">
        <v>46182</v>
      </c>
      <c r="AZ404" s="1102">
        <v>13</v>
      </c>
      <c r="BA404" s="1103">
        <v>46182</v>
      </c>
      <c r="BB404" s="1102">
        <v>2026</v>
      </c>
      <c r="BC404" s="1102">
        <v>6</v>
      </c>
      <c r="BD404" s="1102">
        <v>24</v>
      </c>
      <c r="BE404" s="1102">
        <v>33</v>
      </c>
      <c r="BF404" s="1102">
        <v>660</v>
      </c>
      <c r="BG404" s="1102" t="s">
        <v>108</v>
      </c>
      <c r="BH404" s="1102" t="s">
        <v>86</v>
      </c>
    </row>
    <row r="405" spans="1:60">
      <c r="A405" s="1102" t="s">
        <v>1990</v>
      </c>
      <c r="B405" s="1102" t="s">
        <v>111</v>
      </c>
      <c r="C405" s="1102" t="s">
        <v>1976</v>
      </c>
      <c r="D405" s="1102" t="s">
        <v>63</v>
      </c>
      <c r="E405" s="1102" t="s">
        <v>64</v>
      </c>
      <c r="F405" s="1102" t="s">
        <v>65</v>
      </c>
      <c r="G405" s="1102" t="s">
        <v>402</v>
      </c>
      <c r="H405" s="1102" t="s">
        <v>67</v>
      </c>
      <c r="I405" s="1102" t="s">
        <v>882</v>
      </c>
      <c r="J405" s="1102" t="s">
        <v>69</v>
      </c>
      <c r="M405" s="1102" t="s">
        <v>68</v>
      </c>
      <c r="N405" s="1102">
        <v>46111</v>
      </c>
      <c r="O405" s="1102" t="s">
        <v>170</v>
      </c>
      <c r="P405" s="1102" t="s">
        <v>1977</v>
      </c>
      <c r="Q405" s="1102" t="s">
        <v>1978</v>
      </c>
      <c r="R405" s="1102" t="s">
        <v>73</v>
      </c>
      <c r="S405" s="1102" t="s">
        <v>992</v>
      </c>
      <c r="T405" s="1102">
        <v>560</v>
      </c>
      <c r="U405" s="1102">
        <v>3267</v>
      </c>
      <c r="V405" s="1102">
        <v>1.82952</v>
      </c>
      <c r="W405" s="1102">
        <v>99</v>
      </c>
      <c r="X405" s="1102">
        <v>4.95</v>
      </c>
      <c r="Y405" s="1102" t="s">
        <v>75</v>
      </c>
      <c r="Z405" s="1102" t="s">
        <v>75</v>
      </c>
      <c r="AA405" s="1102" t="s">
        <v>1991</v>
      </c>
      <c r="AB405" s="1103">
        <v>46116</v>
      </c>
      <c r="AC405" s="1102">
        <v>14</v>
      </c>
      <c r="AD405" s="1102" t="s">
        <v>1992</v>
      </c>
      <c r="AF405" s="1102" t="s">
        <v>945</v>
      </c>
      <c r="AG405" s="1102" t="s">
        <v>123</v>
      </c>
      <c r="AH405" s="1102" t="s">
        <v>78</v>
      </c>
      <c r="AI405" s="1103">
        <v>46119</v>
      </c>
      <c r="AJ405" s="1103">
        <v>46120</v>
      </c>
      <c r="AK405" s="1103">
        <v>46120</v>
      </c>
      <c r="AL405" s="1103">
        <v>46168</v>
      </c>
      <c r="AM405" s="1103">
        <v>46166</v>
      </c>
      <c r="AN405" s="1103">
        <v>46164</v>
      </c>
      <c r="AO405" s="1102" t="s">
        <v>402</v>
      </c>
      <c r="AP405" s="1102" t="s">
        <v>1993</v>
      </c>
      <c r="AQ405" s="1102" t="s">
        <v>80</v>
      </c>
      <c r="AR405" s="1102" t="s">
        <v>1994</v>
      </c>
      <c r="AS405" s="1102" t="s">
        <v>1995</v>
      </c>
      <c r="AT405" s="1102" t="s">
        <v>1995</v>
      </c>
      <c r="AU405" s="1102">
        <v>44</v>
      </c>
      <c r="AW405" s="1103">
        <v>46164</v>
      </c>
      <c r="AX405" s="1102" t="s">
        <v>973</v>
      </c>
      <c r="AY405" s="1103">
        <v>46177</v>
      </c>
      <c r="AZ405" s="1102">
        <v>8</v>
      </c>
      <c r="BA405" s="1103">
        <v>46172</v>
      </c>
      <c r="BB405" s="1102">
        <v>2026</v>
      </c>
      <c r="BC405" s="1102">
        <v>5</v>
      </c>
      <c r="BD405" s="1102">
        <v>22</v>
      </c>
      <c r="BE405" s="1102">
        <v>33</v>
      </c>
      <c r="BF405" s="1102">
        <v>660</v>
      </c>
      <c r="BG405" s="1102" t="s">
        <v>108</v>
      </c>
      <c r="BH405" s="1102" t="s">
        <v>86</v>
      </c>
    </row>
    <row r="406" spans="1:60">
      <c r="A406" s="1102" t="s">
        <v>1996</v>
      </c>
      <c r="B406" s="1102" t="s">
        <v>111</v>
      </c>
      <c r="C406" s="1102" t="s">
        <v>1729</v>
      </c>
      <c r="D406" s="1102" t="s">
        <v>63</v>
      </c>
      <c r="E406" s="1102" t="s">
        <v>64</v>
      </c>
      <c r="F406" s="1102" t="s">
        <v>310</v>
      </c>
      <c r="G406" s="1102" t="s">
        <v>402</v>
      </c>
      <c r="H406" s="1102" t="s">
        <v>311</v>
      </c>
      <c r="I406" s="1102" t="s">
        <v>1395</v>
      </c>
      <c r="J406" s="1102" t="s">
        <v>96</v>
      </c>
      <c r="M406" s="1102" t="s">
        <v>68</v>
      </c>
      <c r="N406" s="1102">
        <v>46111</v>
      </c>
      <c r="O406" s="1102" t="s">
        <v>170</v>
      </c>
      <c r="P406" s="1102" t="s">
        <v>171</v>
      </c>
      <c r="Q406" s="1102" t="s">
        <v>1731</v>
      </c>
      <c r="R406" s="1102" t="s">
        <v>73</v>
      </c>
      <c r="S406" s="1102" t="s">
        <v>992</v>
      </c>
      <c r="T406" s="1102">
        <v>555</v>
      </c>
      <c r="U406" s="1102">
        <v>3300</v>
      </c>
      <c r="V406" s="1102">
        <v>1.8314999999999999</v>
      </c>
      <c r="W406" s="1102">
        <v>100</v>
      </c>
      <c r="X406" s="1102">
        <v>5</v>
      </c>
      <c r="Y406" s="1102" t="s">
        <v>951</v>
      </c>
      <c r="Z406" s="1102" t="s">
        <v>75</v>
      </c>
      <c r="AA406" s="1102" t="s">
        <v>1997</v>
      </c>
      <c r="AB406" s="1103">
        <v>46117</v>
      </c>
      <c r="AC406" s="1102">
        <v>14</v>
      </c>
      <c r="AD406" s="1102" t="s">
        <v>1998</v>
      </c>
      <c r="AF406" s="1102" t="s">
        <v>1999</v>
      </c>
      <c r="AG406" s="1102" t="s">
        <v>123</v>
      </c>
      <c r="AH406" s="1102" t="s">
        <v>1561</v>
      </c>
      <c r="AI406" s="1103">
        <v>46124</v>
      </c>
      <c r="AJ406" s="1103">
        <v>46125</v>
      </c>
      <c r="AK406" s="1103">
        <v>46125</v>
      </c>
      <c r="AL406" s="1103">
        <v>46167</v>
      </c>
      <c r="AM406" s="1103">
        <v>46182</v>
      </c>
      <c r="AN406" s="1103">
        <v>46182</v>
      </c>
      <c r="AO406" s="1102" t="s">
        <v>402</v>
      </c>
      <c r="AP406" s="1102" t="s">
        <v>2000</v>
      </c>
      <c r="AQ406" s="1102" t="s">
        <v>80</v>
      </c>
      <c r="AR406" s="1102" t="s">
        <v>2001</v>
      </c>
      <c r="AS406" s="1102" t="s">
        <v>2002</v>
      </c>
      <c r="AT406" s="1102" t="s">
        <v>2002</v>
      </c>
      <c r="AU406" s="1102">
        <v>57</v>
      </c>
      <c r="AW406" s="1103">
        <v>46182</v>
      </c>
      <c r="AX406" s="1102" t="s">
        <v>973</v>
      </c>
      <c r="AY406" s="1103">
        <v>46201</v>
      </c>
      <c r="AZ406" s="1102">
        <v>13</v>
      </c>
      <c r="BA406" s="1103">
        <v>46195</v>
      </c>
      <c r="BB406" s="1102">
        <v>2026</v>
      </c>
      <c r="BC406" s="1102">
        <v>6</v>
      </c>
      <c r="BD406" s="1102">
        <v>26</v>
      </c>
      <c r="BE406" s="1102">
        <v>33</v>
      </c>
      <c r="BF406" s="1102">
        <v>660</v>
      </c>
      <c r="BG406" s="1102" t="s">
        <v>108</v>
      </c>
      <c r="BH406" s="1102" t="s">
        <v>86</v>
      </c>
    </row>
    <row r="407" spans="1:60">
      <c r="A407" s="1102" t="s">
        <v>2003</v>
      </c>
      <c r="B407" s="1102" t="s">
        <v>61</v>
      </c>
      <c r="C407" s="1102" t="s">
        <v>1838</v>
      </c>
      <c r="D407" s="1102" t="s">
        <v>63</v>
      </c>
      <c r="E407" s="1102" t="s">
        <v>64</v>
      </c>
      <c r="F407" s="1102" t="s">
        <v>65</v>
      </c>
      <c r="G407" s="1102" t="s">
        <v>402</v>
      </c>
      <c r="H407" s="1102" t="s">
        <v>67</v>
      </c>
      <c r="I407" s="1102" t="s">
        <v>2004</v>
      </c>
      <c r="J407" s="1102" t="s">
        <v>96</v>
      </c>
      <c r="M407" s="1102" t="s">
        <v>68</v>
      </c>
      <c r="N407" s="1102">
        <v>46111</v>
      </c>
      <c r="O407" s="1102" t="s">
        <v>70</v>
      </c>
      <c r="P407" s="1102" t="s">
        <v>204</v>
      </c>
      <c r="Q407" s="1102" t="s">
        <v>205</v>
      </c>
      <c r="R407" s="1102" t="s">
        <v>73</v>
      </c>
      <c r="S407" s="1102" t="s">
        <v>967</v>
      </c>
      <c r="T407" s="1102">
        <v>455</v>
      </c>
      <c r="U407" s="1102">
        <v>1872</v>
      </c>
      <c r="V407" s="1102">
        <v>0.85175999999999996</v>
      </c>
      <c r="W407" s="1102">
        <v>52</v>
      </c>
      <c r="X407" s="1102">
        <v>2</v>
      </c>
      <c r="Y407" s="1102" t="s">
        <v>75</v>
      </c>
      <c r="Z407" s="1102" t="s">
        <v>75</v>
      </c>
      <c r="AA407" s="1102" t="s">
        <v>1896</v>
      </c>
      <c r="AB407" s="1103">
        <v>46111</v>
      </c>
      <c r="AC407" s="1102">
        <v>14</v>
      </c>
      <c r="AD407" s="1102" t="s">
        <v>2005</v>
      </c>
      <c r="AF407" s="1102" t="s">
        <v>1935</v>
      </c>
      <c r="AG407" s="1102" t="s">
        <v>61</v>
      </c>
      <c r="AH407" s="1102" t="s">
        <v>78</v>
      </c>
      <c r="AI407" s="1103">
        <v>46116</v>
      </c>
      <c r="AJ407" s="1103">
        <v>46116</v>
      </c>
      <c r="AK407" s="1103">
        <v>46117</v>
      </c>
      <c r="AL407" s="1103">
        <v>46181</v>
      </c>
      <c r="AM407" s="1103">
        <v>46171</v>
      </c>
      <c r="AN407" s="1103">
        <v>46175</v>
      </c>
      <c r="AO407" s="1102" t="s">
        <v>402</v>
      </c>
      <c r="AP407" s="1102" t="s">
        <v>2006</v>
      </c>
      <c r="AQ407" s="1102" t="s">
        <v>80</v>
      </c>
      <c r="AR407" s="1102" t="s">
        <v>2007</v>
      </c>
      <c r="AS407" s="1102" t="s">
        <v>2008</v>
      </c>
      <c r="AT407" s="1102" t="s">
        <v>2008</v>
      </c>
      <c r="AU407" s="1102">
        <v>58</v>
      </c>
      <c r="AW407" s="1103">
        <v>46175</v>
      </c>
      <c r="AX407" s="1102" t="s">
        <v>973</v>
      </c>
      <c r="AY407" s="1103">
        <v>46187</v>
      </c>
      <c r="AZ407" s="1102">
        <v>8</v>
      </c>
      <c r="BA407" s="1103">
        <v>46183</v>
      </c>
      <c r="BB407" s="1102">
        <v>2026</v>
      </c>
      <c r="BC407" s="1102">
        <v>6</v>
      </c>
      <c r="BD407" s="1102">
        <v>24</v>
      </c>
      <c r="BE407" s="1102">
        <v>36</v>
      </c>
      <c r="BF407" s="1102">
        <v>936</v>
      </c>
      <c r="BG407" s="1102" t="s">
        <v>94</v>
      </c>
      <c r="BH407" s="1102" t="s">
        <v>86</v>
      </c>
    </row>
    <row r="408" spans="1:60">
      <c r="A408" s="1102" t="s">
        <v>2009</v>
      </c>
      <c r="B408" s="1102" t="s">
        <v>61</v>
      </c>
      <c r="C408" s="1102" t="s">
        <v>1838</v>
      </c>
      <c r="D408" s="1102" t="s">
        <v>63</v>
      </c>
      <c r="E408" s="1102" t="s">
        <v>64</v>
      </c>
      <c r="F408" s="1102" t="s">
        <v>65</v>
      </c>
      <c r="G408" s="1102" t="s">
        <v>402</v>
      </c>
      <c r="H408" s="1102" t="s">
        <v>67</v>
      </c>
      <c r="I408" s="1102" t="s">
        <v>2004</v>
      </c>
      <c r="J408" s="1102" t="s">
        <v>96</v>
      </c>
      <c r="M408" s="1102" t="s">
        <v>68</v>
      </c>
      <c r="N408" s="1102">
        <v>46111</v>
      </c>
      <c r="O408" s="1102" t="s">
        <v>70</v>
      </c>
      <c r="P408" s="1102" t="s">
        <v>204</v>
      </c>
      <c r="Q408" s="1102" t="s">
        <v>205</v>
      </c>
      <c r="R408" s="1102" t="s">
        <v>73</v>
      </c>
      <c r="S408" s="1102" t="s">
        <v>967</v>
      </c>
      <c r="T408" s="1102">
        <v>455</v>
      </c>
      <c r="U408" s="1102">
        <v>3744</v>
      </c>
      <c r="V408" s="1102">
        <v>1.7035199999999999</v>
      </c>
      <c r="W408" s="1102">
        <v>104</v>
      </c>
      <c r="X408" s="1102">
        <v>4</v>
      </c>
      <c r="Y408" s="1102" t="s">
        <v>75</v>
      </c>
      <c r="Z408" s="1102" t="s">
        <v>75</v>
      </c>
      <c r="AA408" s="1102" t="s">
        <v>1896</v>
      </c>
      <c r="AB408" s="1103">
        <v>46111</v>
      </c>
      <c r="AC408" s="1102">
        <v>14</v>
      </c>
      <c r="AD408" s="1102" t="s">
        <v>2010</v>
      </c>
      <c r="AF408" s="1102" t="s">
        <v>1935</v>
      </c>
      <c r="AG408" s="1102" t="s">
        <v>61</v>
      </c>
      <c r="AH408" s="1102" t="s">
        <v>78</v>
      </c>
      <c r="AI408" s="1103">
        <v>46116</v>
      </c>
      <c r="AJ408" s="1103">
        <v>46116</v>
      </c>
      <c r="AK408" s="1103">
        <v>46117</v>
      </c>
      <c r="AL408" s="1103">
        <v>46181</v>
      </c>
      <c r="AM408" s="1103">
        <v>46181</v>
      </c>
      <c r="AN408" s="1103">
        <v>46179</v>
      </c>
      <c r="AO408" s="1102" t="s">
        <v>402</v>
      </c>
      <c r="AP408" s="1102" t="s">
        <v>2006</v>
      </c>
      <c r="AQ408" s="1102" t="s">
        <v>80</v>
      </c>
      <c r="AR408" s="1102" t="s">
        <v>2011</v>
      </c>
      <c r="AS408" s="1102" t="s">
        <v>2012</v>
      </c>
      <c r="AT408" s="1102" t="s">
        <v>2012</v>
      </c>
      <c r="AU408" s="1102">
        <v>62</v>
      </c>
      <c r="AW408" s="1103">
        <v>46179</v>
      </c>
      <c r="AX408" s="1102" t="s">
        <v>973</v>
      </c>
      <c r="AY408" s="1103">
        <v>46191</v>
      </c>
      <c r="AZ408" s="1102">
        <v>8</v>
      </c>
      <c r="BA408" s="1103">
        <v>46187</v>
      </c>
      <c r="BB408" s="1102">
        <v>2026</v>
      </c>
      <c r="BC408" s="1102">
        <v>6</v>
      </c>
      <c r="BD408" s="1102">
        <v>24</v>
      </c>
      <c r="BE408" s="1102">
        <v>36</v>
      </c>
      <c r="BF408" s="1102">
        <v>936</v>
      </c>
      <c r="BG408" s="1102" t="s">
        <v>94</v>
      </c>
      <c r="BH408" s="1102" t="s">
        <v>86</v>
      </c>
    </row>
    <row r="409" spans="1:60">
      <c r="A409" s="1102" t="s">
        <v>2013</v>
      </c>
      <c r="B409" s="1102" t="s">
        <v>61</v>
      </c>
      <c r="C409" s="1102" t="s">
        <v>1940</v>
      </c>
      <c r="D409" s="1102" t="s">
        <v>63</v>
      </c>
      <c r="E409" s="1102" t="s">
        <v>64</v>
      </c>
      <c r="F409" s="1102" t="s">
        <v>65</v>
      </c>
      <c r="G409" s="1102" t="s">
        <v>402</v>
      </c>
      <c r="H409" s="1102" t="s">
        <v>67</v>
      </c>
      <c r="I409" s="1102" t="s">
        <v>882</v>
      </c>
      <c r="J409" s="1102" t="s">
        <v>96</v>
      </c>
      <c r="M409" s="1102" t="s">
        <v>68</v>
      </c>
      <c r="N409" s="1102">
        <v>46111</v>
      </c>
      <c r="O409" s="1102" t="s">
        <v>70</v>
      </c>
      <c r="P409" s="1102" t="s">
        <v>91</v>
      </c>
      <c r="Q409" s="1102" t="s">
        <v>92</v>
      </c>
      <c r="R409" s="1102" t="s">
        <v>73</v>
      </c>
      <c r="S409" s="1102" t="s">
        <v>967</v>
      </c>
      <c r="T409" s="1102">
        <v>450</v>
      </c>
      <c r="U409" s="1102">
        <v>936</v>
      </c>
      <c r="V409" s="1102">
        <v>0.42120000000000002</v>
      </c>
      <c r="W409" s="1102">
        <v>26</v>
      </c>
      <c r="X409" s="1102">
        <v>1</v>
      </c>
      <c r="Y409" s="1102" t="s">
        <v>75</v>
      </c>
      <c r="Z409" s="1102" t="s">
        <v>75</v>
      </c>
      <c r="AA409" s="1102" t="s">
        <v>1991</v>
      </c>
      <c r="AB409" s="1103">
        <v>46111</v>
      </c>
      <c r="AC409" s="1102">
        <v>14</v>
      </c>
      <c r="AD409" s="1102" t="s">
        <v>2014</v>
      </c>
      <c r="AF409" s="1102" t="s">
        <v>1935</v>
      </c>
      <c r="AG409" s="1102" t="s">
        <v>61</v>
      </c>
      <c r="AH409" s="1102" t="s">
        <v>356</v>
      </c>
      <c r="AI409" s="1103">
        <v>46116</v>
      </c>
      <c r="AJ409" s="1103">
        <v>46116</v>
      </c>
      <c r="AK409" s="1103">
        <v>46117</v>
      </c>
      <c r="AL409" s="1103">
        <v>46168</v>
      </c>
      <c r="AM409" s="1103">
        <v>46170</v>
      </c>
      <c r="AN409" s="1103">
        <v>46170</v>
      </c>
      <c r="AO409" s="1102" t="s">
        <v>402</v>
      </c>
      <c r="AP409" s="1102" t="s">
        <v>2006</v>
      </c>
      <c r="AQ409" s="1102" t="s">
        <v>80</v>
      </c>
      <c r="AR409" s="1102" t="s">
        <v>2015</v>
      </c>
      <c r="AS409" s="1102" t="s">
        <v>2016</v>
      </c>
      <c r="AT409" s="1102" t="s">
        <v>2016</v>
      </c>
      <c r="AU409" s="1102">
        <v>53</v>
      </c>
      <c r="AW409" s="1103">
        <v>46170</v>
      </c>
      <c r="AX409" s="1102" t="s">
        <v>973</v>
      </c>
      <c r="AY409" s="1103">
        <v>46183</v>
      </c>
      <c r="AZ409" s="1102">
        <v>8</v>
      </c>
      <c r="BA409" s="1103">
        <v>46178</v>
      </c>
      <c r="BB409" s="1102">
        <v>2026</v>
      </c>
      <c r="BC409" s="1102">
        <v>6</v>
      </c>
      <c r="BD409" s="1102">
        <v>23</v>
      </c>
      <c r="BE409" s="1102">
        <v>36</v>
      </c>
      <c r="BF409" s="1102">
        <v>936</v>
      </c>
      <c r="BG409" s="1102" t="s">
        <v>94</v>
      </c>
      <c r="BH409" s="1102" t="s">
        <v>109</v>
      </c>
    </row>
    <row r="410" spans="1:60">
      <c r="A410" s="1102" t="s">
        <v>2017</v>
      </c>
      <c r="B410" s="1102" t="s">
        <v>1757</v>
      </c>
      <c r="C410" s="1102" t="s">
        <v>1593</v>
      </c>
      <c r="D410" s="1102" t="s">
        <v>63</v>
      </c>
      <c r="E410" s="1102" t="s">
        <v>144</v>
      </c>
      <c r="F410" s="1102" t="s">
        <v>145</v>
      </c>
      <c r="G410" s="1102" t="s">
        <v>402</v>
      </c>
      <c r="H410" s="1102" t="s">
        <v>881</v>
      </c>
      <c r="I410" s="1102" t="s">
        <v>689</v>
      </c>
      <c r="J410" s="1102" t="s">
        <v>1758</v>
      </c>
      <c r="K410" s="1102" t="s">
        <v>1759</v>
      </c>
      <c r="M410" s="1102" t="s">
        <v>840</v>
      </c>
      <c r="N410" s="1102">
        <v>46090</v>
      </c>
      <c r="O410" s="1102" t="s">
        <v>70</v>
      </c>
      <c r="P410" s="1102" t="s">
        <v>71</v>
      </c>
      <c r="Q410" s="1102" t="s">
        <v>72</v>
      </c>
      <c r="R410" s="1102" t="s">
        <v>73</v>
      </c>
      <c r="S410" s="1102" t="s">
        <v>967</v>
      </c>
      <c r="T410" s="1102">
        <v>500</v>
      </c>
      <c r="U410" s="1102">
        <v>3456</v>
      </c>
      <c r="V410" s="1102">
        <v>1.728</v>
      </c>
      <c r="W410" s="1102">
        <v>96</v>
      </c>
      <c r="X410" s="1102">
        <v>4</v>
      </c>
      <c r="Y410" s="1102" t="s">
        <v>75</v>
      </c>
      <c r="Z410" s="1102" t="s">
        <v>75</v>
      </c>
      <c r="AA410" s="1102" t="s">
        <v>1760</v>
      </c>
      <c r="AB410" s="1103">
        <v>46118</v>
      </c>
      <c r="AC410" s="1102">
        <v>15</v>
      </c>
      <c r="AD410" s="1102" t="s">
        <v>2018</v>
      </c>
      <c r="AF410" s="1102" t="s">
        <v>1762</v>
      </c>
      <c r="AG410" s="1102" t="s">
        <v>123</v>
      </c>
      <c r="AH410" s="1102" t="s">
        <v>888</v>
      </c>
      <c r="AI410" s="1103">
        <v>46123</v>
      </c>
      <c r="AJ410" s="1103">
        <v>46123</v>
      </c>
      <c r="AK410" s="1103">
        <v>46123</v>
      </c>
      <c r="AL410" s="1103">
        <v>46177</v>
      </c>
      <c r="AM410" s="1103">
        <v>46174</v>
      </c>
      <c r="AN410" s="1103">
        <v>46176</v>
      </c>
      <c r="AO410" s="1102" t="s">
        <v>402</v>
      </c>
      <c r="AP410" s="1102" t="s">
        <v>2019</v>
      </c>
      <c r="AQ410" s="1102" t="s">
        <v>161</v>
      </c>
      <c r="AR410" s="1102" t="s">
        <v>2020</v>
      </c>
      <c r="AS410" s="1102" t="s">
        <v>2021</v>
      </c>
      <c r="AT410" s="1102" t="s">
        <v>2022</v>
      </c>
      <c r="AU410" s="1102">
        <v>53</v>
      </c>
      <c r="AW410" s="1103">
        <v>46176</v>
      </c>
      <c r="AX410" s="1102" t="s">
        <v>973</v>
      </c>
      <c r="AY410" s="1103">
        <v>46194</v>
      </c>
      <c r="AZ410" s="1102">
        <v>0</v>
      </c>
      <c r="BA410" s="1103">
        <v>46176</v>
      </c>
      <c r="BB410" s="1102">
        <v>2026</v>
      </c>
      <c r="BC410" s="1102">
        <v>6</v>
      </c>
      <c r="BD410" s="1102">
        <v>23</v>
      </c>
      <c r="BE410" s="1102">
        <v>36</v>
      </c>
      <c r="BF410" s="1102">
        <v>864</v>
      </c>
      <c r="BG410" s="1102" t="s">
        <v>85</v>
      </c>
      <c r="BH410" s="1102" t="s">
        <v>109</v>
      </c>
    </row>
    <row r="411" spans="1:60">
      <c r="A411" s="1102" t="s">
        <v>2023</v>
      </c>
      <c r="B411" s="1102" t="s">
        <v>1757</v>
      </c>
      <c r="C411" s="1102" t="s">
        <v>1593</v>
      </c>
      <c r="D411" s="1102" t="s">
        <v>63</v>
      </c>
      <c r="E411" s="1102" t="s">
        <v>144</v>
      </c>
      <c r="F411" s="1102" t="s">
        <v>145</v>
      </c>
      <c r="G411" s="1102" t="s">
        <v>402</v>
      </c>
      <c r="H411" s="1102" t="s">
        <v>881</v>
      </c>
      <c r="I411" s="1102" t="s">
        <v>689</v>
      </c>
      <c r="J411" s="1102" t="s">
        <v>1758</v>
      </c>
      <c r="K411" s="1102" t="s">
        <v>2024</v>
      </c>
      <c r="M411" s="1102" t="s">
        <v>840</v>
      </c>
      <c r="N411" s="1102">
        <v>46090</v>
      </c>
      <c r="O411" s="1102" t="s">
        <v>70</v>
      </c>
      <c r="P411" s="1102" t="s">
        <v>71</v>
      </c>
      <c r="Q411" s="1102" t="s">
        <v>72</v>
      </c>
      <c r="R411" s="1102" t="s">
        <v>73</v>
      </c>
      <c r="S411" s="1102" t="s">
        <v>967</v>
      </c>
      <c r="T411" s="1102">
        <v>500</v>
      </c>
      <c r="U411" s="1102">
        <v>4320</v>
      </c>
      <c r="V411" s="1102">
        <v>2.16</v>
      </c>
      <c r="W411" s="1102">
        <v>120</v>
      </c>
      <c r="X411" s="1102">
        <v>5</v>
      </c>
      <c r="Y411" s="1102" t="s">
        <v>75</v>
      </c>
      <c r="Z411" s="1102" t="s">
        <v>75</v>
      </c>
      <c r="AA411" s="1102" t="s">
        <v>1760</v>
      </c>
      <c r="AB411" s="1103">
        <v>46118</v>
      </c>
      <c r="AC411" s="1102">
        <v>15</v>
      </c>
      <c r="AD411" s="1102" t="s">
        <v>2025</v>
      </c>
      <c r="AF411" s="1102" t="s">
        <v>1762</v>
      </c>
      <c r="AG411" s="1102" t="s">
        <v>123</v>
      </c>
      <c r="AH411" s="1102" t="s">
        <v>888</v>
      </c>
      <c r="AI411" s="1103">
        <v>46123</v>
      </c>
      <c r="AJ411" s="1103">
        <v>46123</v>
      </c>
      <c r="AK411" s="1103">
        <v>46123</v>
      </c>
      <c r="AL411" s="1103">
        <v>46177</v>
      </c>
      <c r="AM411" s="1103">
        <v>46174</v>
      </c>
      <c r="AN411" s="1103">
        <v>46176</v>
      </c>
      <c r="AO411" s="1102" t="s">
        <v>402</v>
      </c>
      <c r="AP411" s="1102" t="s">
        <v>2019</v>
      </c>
      <c r="AQ411" s="1102" t="s">
        <v>161</v>
      </c>
      <c r="AR411" s="1102" t="s">
        <v>2020</v>
      </c>
      <c r="AS411" s="1102" t="s">
        <v>2026</v>
      </c>
      <c r="AT411" s="1102" t="s">
        <v>2022</v>
      </c>
      <c r="AU411" s="1102">
        <v>53</v>
      </c>
      <c r="AW411" s="1103">
        <v>46176</v>
      </c>
      <c r="AX411" s="1102" t="s">
        <v>973</v>
      </c>
      <c r="AY411" s="1103">
        <v>46194</v>
      </c>
      <c r="AZ411" s="1102">
        <v>0</v>
      </c>
      <c r="BA411" s="1103">
        <v>46176</v>
      </c>
      <c r="BB411" s="1102">
        <v>2026</v>
      </c>
      <c r="BC411" s="1102">
        <v>6</v>
      </c>
      <c r="BD411" s="1102">
        <v>23</v>
      </c>
      <c r="BE411" s="1102">
        <v>36</v>
      </c>
      <c r="BF411" s="1102">
        <v>864</v>
      </c>
      <c r="BG411" s="1102" t="s">
        <v>85</v>
      </c>
      <c r="BH411" s="1102" t="s">
        <v>109</v>
      </c>
    </row>
    <row r="412" spans="1:60">
      <c r="A412" s="1102" t="s">
        <v>2027</v>
      </c>
      <c r="B412" s="1102" t="s">
        <v>1757</v>
      </c>
      <c r="C412" s="1102" t="s">
        <v>1593</v>
      </c>
      <c r="D412" s="1102" t="s">
        <v>63</v>
      </c>
      <c r="E412" s="1102" t="s">
        <v>144</v>
      </c>
      <c r="F412" s="1102" t="s">
        <v>145</v>
      </c>
      <c r="G412" s="1102" t="s">
        <v>402</v>
      </c>
      <c r="H412" s="1102" t="s">
        <v>881</v>
      </c>
      <c r="I412" s="1102" t="s">
        <v>689</v>
      </c>
      <c r="J412" s="1102" t="s">
        <v>1758</v>
      </c>
      <c r="K412" s="1102" t="s">
        <v>2028</v>
      </c>
      <c r="M412" s="1102" t="s">
        <v>840</v>
      </c>
      <c r="N412" s="1102">
        <v>46090</v>
      </c>
      <c r="O412" s="1102" t="s">
        <v>70</v>
      </c>
      <c r="P412" s="1102" t="s">
        <v>71</v>
      </c>
      <c r="Q412" s="1102" t="s">
        <v>72</v>
      </c>
      <c r="R412" s="1102" t="s">
        <v>73</v>
      </c>
      <c r="S412" s="1102" t="s">
        <v>967</v>
      </c>
      <c r="T412" s="1102">
        <v>500</v>
      </c>
      <c r="U412" s="1102">
        <v>4320</v>
      </c>
      <c r="V412" s="1102">
        <v>2.16</v>
      </c>
      <c r="W412" s="1102">
        <v>120</v>
      </c>
      <c r="X412" s="1102">
        <v>5</v>
      </c>
      <c r="Y412" s="1102" t="s">
        <v>75</v>
      </c>
      <c r="Z412" s="1102" t="s">
        <v>75</v>
      </c>
      <c r="AA412" s="1102" t="s">
        <v>2029</v>
      </c>
      <c r="AB412" s="1103">
        <v>46118</v>
      </c>
      <c r="AC412" s="1102">
        <v>15</v>
      </c>
      <c r="AD412" s="1102" t="s">
        <v>2030</v>
      </c>
      <c r="AF412" s="1102" t="s">
        <v>1762</v>
      </c>
      <c r="AG412" s="1102" t="s">
        <v>123</v>
      </c>
      <c r="AH412" s="1102" t="s">
        <v>888</v>
      </c>
      <c r="AI412" s="1103">
        <v>46123</v>
      </c>
      <c r="AJ412" s="1103">
        <v>46123</v>
      </c>
      <c r="AK412" s="1103">
        <v>46123</v>
      </c>
      <c r="AL412" s="1103">
        <v>46177</v>
      </c>
      <c r="AM412" s="1103">
        <v>46174</v>
      </c>
      <c r="AN412" s="1103">
        <v>46176</v>
      </c>
      <c r="AO412" s="1102" t="s">
        <v>402</v>
      </c>
      <c r="AP412" s="1102" t="s">
        <v>2019</v>
      </c>
      <c r="AQ412" s="1102" t="s">
        <v>161</v>
      </c>
      <c r="AR412" s="1102" t="s">
        <v>2020</v>
      </c>
      <c r="AS412" s="1102" t="s">
        <v>2026</v>
      </c>
      <c r="AT412" s="1102" t="s">
        <v>2022</v>
      </c>
      <c r="AU412" s="1102">
        <v>53</v>
      </c>
      <c r="AW412" s="1103">
        <v>46176</v>
      </c>
      <c r="AX412" s="1102" t="s">
        <v>973</v>
      </c>
      <c r="AY412" s="1103">
        <v>46194</v>
      </c>
      <c r="AZ412" s="1102">
        <v>0</v>
      </c>
      <c r="BA412" s="1103">
        <v>46176</v>
      </c>
      <c r="BB412" s="1102">
        <v>2026</v>
      </c>
      <c r="BC412" s="1102">
        <v>6</v>
      </c>
      <c r="BD412" s="1102">
        <v>23</v>
      </c>
      <c r="BE412" s="1102">
        <v>36</v>
      </c>
      <c r="BF412" s="1102">
        <v>864</v>
      </c>
      <c r="BG412" s="1102" t="s">
        <v>85</v>
      </c>
      <c r="BH412" s="1102" t="s">
        <v>109</v>
      </c>
    </row>
    <row r="413" spans="1:60">
      <c r="A413" s="1102" t="s">
        <v>2031</v>
      </c>
      <c r="B413" s="1102" t="s">
        <v>1757</v>
      </c>
      <c r="C413" s="1102" t="s">
        <v>1286</v>
      </c>
      <c r="D413" s="1102" t="s">
        <v>63</v>
      </c>
      <c r="E413" s="1102" t="s">
        <v>64</v>
      </c>
      <c r="F413" s="1102" t="s">
        <v>450</v>
      </c>
      <c r="G413" s="1102" t="s">
        <v>402</v>
      </c>
      <c r="H413" s="1102" t="s">
        <v>451</v>
      </c>
      <c r="I413" s="1102" t="s">
        <v>689</v>
      </c>
      <c r="J413" s="1102" t="s">
        <v>1832</v>
      </c>
      <c r="M413" s="1102" t="s">
        <v>68</v>
      </c>
      <c r="N413" s="1102">
        <v>46104</v>
      </c>
      <c r="O413" s="1102" t="s">
        <v>70</v>
      </c>
      <c r="P413" s="1102" t="s">
        <v>1151</v>
      </c>
      <c r="Q413" s="1102" t="s">
        <v>421</v>
      </c>
      <c r="R413" s="1102" t="s">
        <v>73</v>
      </c>
      <c r="S413" s="1102" t="s">
        <v>967</v>
      </c>
      <c r="T413" s="1102">
        <v>505</v>
      </c>
      <c r="U413" s="1102">
        <v>3456</v>
      </c>
      <c r="V413" s="1102">
        <v>1.7452799999999999</v>
      </c>
      <c r="W413" s="1102">
        <v>96</v>
      </c>
      <c r="X413" s="1102">
        <v>4</v>
      </c>
      <c r="Y413" s="1102" t="s">
        <v>75</v>
      </c>
      <c r="Z413" s="1102" t="s">
        <v>75</v>
      </c>
      <c r="AA413" s="1102" t="s">
        <v>1883</v>
      </c>
      <c r="AB413" s="1103">
        <v>46123</v>
      </c>
      <c r="AC413" s="1102">
        <v>15</v>
      </c>
      <c r="AD413" s="1102" t="s">
        <v>2032</v>
      </c>
      <c r="AF413" s="1102" t="s">
        <v>1762</v>
      </c>
      <c r="AG413" s="1102" t="s">
        <v>123</v>
      </c>
      <c r="AH413" s="1102" t="s">
        <v>456</v>
      </c>
      <c r="AI413" s="1103">
        <v>46125</v>
      </c>
      <c r="AJ413" s="1103">
        <v>46125</v>
      </c>
      <c r="AK413" s="1103">
        <v>46126</v>
      </c>
      <c r="AL413" s="1103">
        <v>46171</v>
      </c>
      <c r="AM413" s="1103">
        <v>46176</v>
      </c>
      <c r="AN413" s="1103">
        <v>46178</v>
      </c>
      <c r="AO413" s="1102" t="s">
        <v>402</v>
      </c>
      <c r="AP413" s="1102" t="s">
        <v>2033</v>
      </c>
      <c r="AQ413" s="1102" t="s">
        <v>161</v>
      </c>
      <c r="AR413" s="1102" t="s">
        <v>2034</v>
      </c>
      <c r="AS413" s="1102" t="s">
        <v>2035</v>
      </c>
      <c r="AT413" s="1102" t="s">
        <v>2036</v>
      </c>
      <c r="AU413" s="1102">
        <v>52</v>
      </c>
      <c r="AW413" s="1103">
        <v>46178</v>
      </c>
      <c r="AX413" s="1102" t="s">
        <v>973</v>
      </c>
      <c r="AY413" s="1103">
        <v>46191</v>
      </c>
      <c r="AZ413" s="1102">
        <v>7</v>
      </c>
      <c r="BA413" s="1103">
        <v>46185</v>
      </c>
      <c r="BB413" s="1102">
        <v>2026</v>
      </c>
      <c r="BC413" s="1102">
        <v>6</v>
      </c>
      <c r="BD413" s="1102">
        <v>24</v>
      </c>
      <c r="BE413" s="1102">
        <v>36</v>
      </c>
      <c r="BF413" s="1102">
        <v>864</v>
      </c>
      <c r="BG413" s="1102" t="s">
        <v>85</v>
      </c>
      <c r="BH413" s="1102" t="s">
        <v>109</v>
      </c>
    </row>
    <row r="414" spans="1:60">
      <c r="A414" s="1102" t="s">
        <v>2037</v>
      </c>
      <c r="B414" s="1102" t="s">
        <v>1888</v>
      </c>
      <c r="C414" s="1102" t="s">
        <v>1016</v>
      </c>
      <c r="D414" s="1102" t="s">
        <v>63</v>
      </c>
      <c r="E414" s="1102" t="s">
        <v>64</v>
      </c>
      <c r="F414" s="1102" t="s">
        <v>450</v>
      </c>
      <c r="G414" s="1102" t="s">
        <v>402</v>
      </c>
      <c r="H414" s="1102" t="s">
        <v>451</v>
      </c>
      <c r="I414" s="1102" t="s">
        <v>689</v>
      </c>
      <c r="J414" s="1102" t="s">
        <v>96</v>
      </c>
      <c r="M414" s="1102" t="s">
        <v>68</v>
      </c>
      <c r="N414" s="1102">
        <v>46111</v>
      </c>
      <c r="O414" s="1102" t="s">
        <v>70</v>
      </c>
      <c r="P414" s="1102" t="s">
        <v>195</v>
      </c>
      <c r="Q414" s="1102" t="s">
        <v>196</v>
      </c>
      <c r="R414" s="1102" t="s">
        <v>73</v>
      </c>
      <c r="S414" s="1102" t="s">
        <v>967</v>
      </c>
      <c r="T414" s="1102">
        <v>450</v>
      </c>
      <c r="U414" s="1102">
        <v>1872</v>
      </c>
      <c r="V414" s="1102">
        <v>0.84240000000000004</v>
      </c>
      <c r="W414" s="1102">
        <v>52</v>
      </c>
      <c r="X414" s="1102">
        <v>2</v>
      </c>
      <c r="Y414" s="1102" t="s">
        <v>75</v>
      </c>
      <c r="Z414" s="1102" t="s">
        <v>75</v>
      </c>
      <c r="AA414" s="1102" t="s">
        <v>2038</v>
      </c>
      <c r="AB414" s="1103">
        <v>46123</v>
      </c>
      <c r="AC414" s="1102">
        <v>15</v>
      </c>
      <c r="AD414" s="1102" t="s">
        <v>2039</v>
      </c>
      <c r="AF414" s="1102" t="s">
        <v>1891</v>
      </c>
      <c r="AG414" s="1102" t="s">
        <v>123</v>
      </c>
      <c r="AH414" s="1102" t="s">
        <v>456</v>
      </c>
      <c r="AI414" s="1103">
        <v>46125</v>
      </c>
      <c r="AJ414" s="1103">
        <v>46125</v>
      </c>
      <c r="AK414" s="1103">
        <v>46126</v>
      </c>
      <c r="AL414" s="1103">
        <v>46171</v>
      </c>
      <c r="AM414" s="1103">
        <v>46176</v>
      </c>
      <c r="AN414" s="1103">
        <v>46178</v>
      </c>
      <c r="AO414" s="1102" t="s">
        <v>402</v>
      </c>
      <c r="AP414" s="1102" t="s">
        <v>2033</v>
      </c>
      <c r="AQ414" s="1102" t="s">
        <v>161</v>
      </c>
      <c r="AR414" s="1102" t="s">
        <v>2040</v>
      </c>
      <c r="AS414" s="1102" t="s">
        <v>2041</v>
      </c>
      <c r="AT414" s="1102" t="s">
        <v>2042</v>
      </c>
      <c r="AU414" s="1102">
        <v>52</v>
      </c>
      <c r="AW414" s="1103">
        <v>46178</v>
      </c>
      <c r="AX414" s="1102" t="s">
        <v>973</v>
      </c>
      <c r="AY414" s="1103">
        <v>46191</v>
      </c>
      <c r="AZ414" s="1102">
        <v>7</v>
      </c>
      <c r="BA414" s="1103">
        <v>46185</v>
      </c>
      <c r="BB414" s="1102">
        <v>2026</v>
      </c>
      <c r="BC414" s="1102">
        <v>6</v>
      </c>
      <c r="BD414" s="1102">
        <v>24</v>
      </c>
      <c r="BE414" s="1102">
        <v>36</v>
      </c>
      <c r="BF414" s="1102">
        <v>936</v>
      </c>
      <c r="BG414" s="1102" t="s">
        <v>85</v>
      </c>
      <c r="BH414" s="1102" t="s">
        <v>109</v>
      </c>
    </row>
    <row r="415" spans="1:60">
      <c r="A415" s="1102" t="s">
        <v>2043</v>
      </c>
      <c r="B415" s="1102" t="s">
        <v>1757</v>
      </c>
      <c r="C415" s="1102" t="s">
        <v>1286</v>
      </c>
      <c r="D415" s="1102" t="s">
        <v>63</v>
      </c>
      <c r="E415" s="1102" t="s">
        <v>64</v>
      </c>
      <c r="F415" s="1102" t="s">
        <v>450</v>
      </c>
      <c r="G415" s="1102" t="s">
        <v>402</v>
      </c>
      <c r="H415" s="1102" t="s">
        <v>451</v>
      </c>
      <c r="I415" s="1102" t="s">
        <v>689</v>
      </c>
      <c r="J415" s="1102" t="s">
        <v>1832</v>
      </c>
      <c r="M415" s="1102" t="s">
        <v>68</v>
      </c>
      <c r="N415" s="1102">
        <v>46104</v>
      </c>
      <c r="O415" s="1102" t="s">
        <v>70</v>
      </c>
      <c r="P415" s="1102" t="s">
        <v>1151</v>
      </c>
      <c r="Q415" s="1102" t="s">
        <v>421</v>
      </c>
      <c r="R415" s="1102" t="s">
        <v>73</v>
      </c>
      <c r="S415" s="1102" t="s">
        <v>967</v>
      </c>
      <c r="T415" s="1102">
        <v>505</v>
      </c>
      <c r="U415" s="1102">
        <v>4320</v>
      </c>
      <c r="V415" s="1102">
        <v>2.1816</v>
      </c>
      <c r="W415" s="1102">
        <v>120</v>
      </c>
      <c r="X415" s="1102">
        <v>5</v>
      </c>
      <c r="Y415" s="1102" t="s">
        <v>75</v>
      </c>
      <c r="Z415" s="1102" t="s">
        <v>75</v>
      </c>
      <c r="AA415" s="1102" t="s">
        <v>1883</v>
      </c>
      <c r="AB415" s="1103">
        <v>46121</v>
      </c>
      <c r="AC415" s="1102">
        <v>15</v>
      </c>
      <c r="AD415" s="1102" t="s">
        <v>2044</v>
      </c>
      <c r="AF415" s="1102" t="s">
        <v>1762</v>
      </c>
      <c r="AG415" s="1102" t="s">
        <v>123</v>
      </c>
      <c r="AH415" s="1102" t="s">
        <v>456</v>
      </c>
      <c r="AI415" s="1103">
        <v>46124</v>
      </c>
      <c r="AJ415" s="1103">
        <v>46125</v>
      </c>
      <c r="AK415" s="1103">
        <v>46125</v>
      </c>
      <c r="AL415" s="1103">
        <v>46165</v>
      </c>
      <c r="AM415" s="1103">
        <v>46165</v>
      </c>
      <c r="AN415" s="1103">
        <v>46168</v>
      </c>
      <c r="AO415" s="1102" t="s">
        <v>402</v>
      </c>
      <c r="AP415" s="1102" t="s">
        <v>2045</v>
      </c>
      <c r="AQ415" s="1102" t="s">
        <v>80</v>
      </c>
      <c r="AR415" s="1102" t="s">
        <v>2046</v>
      </c>
      <c r="AS415" s="1102" t="s">
        <v>2047</v>
      </c>
      <c r="AT415" s="1102" t="s">
        <v>2047</v>
      </c>
      <c r="AU415" s="1102">
        <v>43</v>
      </c>
      <c r="AW415" s="1103">
        <v>46168</v>
      </c>
      <c r="AX415" s="1102" t="s">
        <v>973</v>
      </c>
      <c r="AY415" s="1103">
        <v>46180</v>
      </c>
      <c r="AZ415" s="1102">
        <v>7</v>
      </c>
      <c r="BA415" s="1103">
        <v>46175</v>
      </c>
      <c r="BB415" s="1102">
        <v>2026</v>
      </c>
      <c r="BC415" s="1102">
        <v>6</v>
      </c>
      <c r="BD415" s="1102">
        <v>23</v>
      </c>
      <c r="BE415" s="1102">
        <v>36</v>
      </c>
      <c r="BF415" s="1102">
        <v>864</v>
      </c>
      <c r="BG415" s="1102" t="s">
        <v>85</v>
      </c>
      <c r="BH415" s="1102" t="s">
        <v>109</v>
      </c>
    </row>
    <row r="416" spans="1:60">
      <c r="A416" s="1102" t="s">
        <v>2048</v>
      </c>
      <c r="B416" s="1102" t="s">
        <v>1802</v>
      </c>
      <c r="C416" s="1102" t="s">
        <v>1803</v>
      </c>
      <c r="D416" s="1102" t="s">
        <v>113</v>
      </c>
      <c r="E416" s="1102" t="s">
        <v>144</v>
      </c>
      <c r="F416" s="1102" t="s">
        <v>145</v>
      </c>
      <c r="G416" s="1102" t="s">
        <v>402</v>
      </c>
      <c r="H416" s="1102" t="s">
        <v>1449</v>
      </c>
      <c r="I416" s="1102" t="s">
        <v>822</v>
      </c>
      <c r="J416" s="1102" t="s">
        <v>1964</v>
      </c>
      <c r="K416" s="1102" t="s">
        <v>1805</v>
      </c>
      <c r="M416" s="1102" t="s">
        <v>840</v>
      </c>
      <c r="N416" s="1102">
        <v>46104</v>
      </c>
      <c r="O416" s="1102" t="s">
        <v>70</v>
      </c>
      <c r="P416" s="1102" t="s">
        <v>1806</v>
      </c>
      <c r="Q416" s="1102" t="s">
        <v>1807</v>
      </c>
      <c r="R416" s="1102" t="s">
        <v>331</v>
      </c>
      <c r="S416" s="1102" t="s">
        <v>1808</v>
      </c>
      <c r="T416" s="1102">
        <v>720</v>
      </c>
      <c r="U416" s="1102">
        <v>2970</v>
      </c>
      <c r="V416" s="1102">
        <v>2.1383999999999999</v>
      </c>
      <c r="W416" s="1102">
        <v>90</v>
      </c>
      <c r="X416" s="1102">
        <v>5</v>
      </c>
      <c r="Y416" s="1102" t="s">
        <v>75</v>
      </c>
      <c r="Z416" s="1102" t="s">
        <v>75</v>
      </c>
      <c r="AA416" s="1102" t="s">
        <v>1958</v>
      </c>
      <c r="AB416" s="1103">
        <v>46121</v>
      </c>
      <c r="AC416" s="1102">
        <v>15</v>
      </c>
      <c r="AD416" s="1102" t="s">
        <v>2049</v>
      </c>
      <c r="AF416" s="1102" t="s">
        <v>945</v>
      </c>
      <c r="AG416" s="1102" t="s">
        <v>123</v>
      </c>
      <c r="AH416" s="1102" t="s">
        <v>105</v>
      </c>
      <c r="AI416" s="1103">
        <v>46124</v>
      </c>
      <c r="AJ416" s="1103">
        <v>46125</v>
      </c>
      <c r="AK416" s="1103">
        <v>46125</v>
      </c>
      <c r="AL416" s="1103">
        <v>46169</v>
      </c>
      <c r="AM416" s="1103">
        <v>46172</v>
      </c>
      <c r="AN416" s="1103">
        <v>46170</v>
      </c>
      <c r="AO416" s="1102" t="s">
        <v>402</v>
      </c>
      <c r="AP416" s="1102" t="s">
        <v>2045</v>
      </c>
      <c r="AQ416" s="1102" t="s">
        <v>80</v>
      </c>
      <c r="AR416" s="1102" t="s">
        <v>2050</v>
      </c>
      <c r="AS416" s="1102" t="s">
        <v>2051</v>
      </c>
      <c r="AT416" s="1102" t="s">
        <v>2051</v>
      </c>
      <c r="AU416" s="1102">
        <v>45</v>
      </c>
      <c r="AW416" s="1103">
        <v>46170</v>
      </c>
      <c r="AX416" s="1102" t="s">
        <v>973</v>
      </c>
      <c r="AY416" s="1103">
        <v>46176</v>
      </c>
      <c r="AZ416" s="1102">
        <v>0</v>
      </c>
      <c r="BA416" s="1103">
        <v>46170</v>
      </c>
      <c r="BB416" s="1102">
        <v>2026</v>
      </c>
      <c r="BC416" s="1102">
        <v>5</v>
      </c>
      <c r="BD416" s="1102">
        <v>22</v>
      </c>
      <c r="BE416" s="1102">
        <v>33</v>
      </c>
      <c r="BF416" s="1102">
        <v>594</v>
      </c>
      <c r="BG416" s="1102" t="s">
        <v>94</v>
      </c>
      <c r="BH416" s="1102" t="s">
        <v>109</v>
      </c>
    </row>
    <row r="417" spans="1:60">
      <c r="A417" s="1102" t="s">
        <v>2052</v>
      </c>
      <c r="B417" s="1102" t="s">
        <v>1888</v>
      </c>
      <c r="C417" s="1102" t="s">
        <v>1016</v>
      </c>
      <c r="D417" s="1102" t="s">
        <v>63</v>
      </c>
      <c r="E417" s="1102" t="s">
        <v>144</v>
      </c>
      <c r="F417" s="1102" t="s">
        <v>145</v>
      </c>
      <c r="G417" s="1102" t="s">
        <v>402</v>
      </c>
      <c r="H417" s="1102" t="s">
        <v>1449</v>
      </c>
      <c r="I417" s="1102" t="s">
        <v>689</v>
      </c>
      <c r="J417" s="1102" t="s">
        <v>2053</v>
      </c>
      <c r="K417" s="1102" t="s">
        <v>1451</v>
      </c>
      <c r="L417" s="1102">
        <v>3</v>
      </c>
      <c r="M417" s="1102" t="s">
        <v>840</v>
      </c>
      <c r="N417" s="1102">
        <v>46104</v>
      </c>
      <c r="O417" s="1102" t="s">
        <v>70</v>
      </c>
      <c r="P417" s="1102" t="s">
        <v>195</v>
      </c>
      <c r="Q417" s="1102" t="s">
        <v>196</v>
      </c>
      <c r="R417" s="1102" t="s">
        <v>73</v>
      </c>
      <c r="S417" s="1102" t="s">
        <v>967</v>
      </c>
      <c r="T417" s="1102">
        <v>450</v>
      </c>
      <c r="U417" s="1102">
        <v>10296</v>
      </c>
      <c r="V417" s="1102">
        <v>4.6332000000000004</v>
      </c>
      <c r="W417" s="1102">
        <v>286</v>
      </c>
      <c r="X417" s="1102">
        <v>11</v>
      </c>
      <c r="Y417" s="1102" t="s">
        <v>75</v>
      </c>
      <c r="Z417" s="1102" t="s">
        <v>75</v>
      </c>
      <c r="AA417" s="1102" t="s">
        <v>2054</v>
      </c>
      <c r="AB417" s="1103">
        <v>46120</v>
      </c>
      <c r="AC417" s="1102">
        <v>15</v>
      </c>
      <c r="AD417" s="1102" t="s">
        <v>2055</v>
      </c>
      <c r="AF417" s="1102" t="s">
        <v>1891</v>
      </c>
      <c r="AG417" s="1102" t="s">
        <v>123</v>
      </c>
      <c r="AH417" s="1102" t="s">
        <v>105</v>
      </c>
      <c r="AI417" s="1103">
        <v>46124</v>
      </c>
      <c r="AJ417" s="1103">
        <v>46127</v>
      </c>
      <c r="AK417" s="1103">
        <v>46127</v>
      </c>
      <c r="AL417" s="1103">
        <v>46161</v>
      </c>
      <c r="AM417" s="1103">
        <v>46172</v>
      </c>
      <c r="AN417" s="1103">
        <v>46174</v>
      </c>
      <c r="AO417" s="1102" t="s">
        <v>402</v>
      </c>
      <c r="AP417" s="1102" t="s">
        <v>2006</v>
      </c>
      <c r="AQ417" s="1102" t="s">
        <v>80</v>
      </c>
      <c r="AR417" s="1102" t="s">
        <v>2056</v>
      </c>
      <c r="AS417" s="1102" t="s">
        <v>2057</v>
      </c>
      <c r="AT417" s="1102" t="s">
        <v>2058</v>
      </c>
      <c r="AU417" s="1102">
        <v>47</v>
      </c>
      <c r="AW417" s="1103">
        <v>46174</v>
      </c>
      <c r="AX417" s="1102" t="s">
        <v>973</v>
      </c>
      <c r="AY417" s="1103">
        <v>46167</v>
      </c>
      <c r="AZ417" s="1102">
        <v>0</v>
      </c>
      <c r="BA417" s="1103">
        <v>46174</v>
      </c>
      <c r="BB417" s="1102">
        <v>2026</v>
      </c>
      <c r="BC417" s="1102">
        <v>6</v>
      </c>
      <c r="BD417" s="1102">
        <v>23</v>
      </c>
      <c r="BE417" s="1102">
        <v>36</v>
      </c>
      <c r="BF417" s="1102">
        <v>936</v>
      </c>
      <c r="BG417" s="1102" t="s">
        <v>85</v>
      </c>
      <c r="BH417" s="1102" t="s">
        <v>109</v>
      </c>
    </row>
    <row r="418" spans="1:60">
      <c r="A418" s="1102" t="s">
        <v>2059</v>
      </c>
      <c r="B418" s="1102" t="s">
        <v>1888</v>
      </c>
      <c r="C418" s="1102" t="s">
        <v>1016</v>
      </c>
      <c r="D418" s="1102" t="s">
        <v>63</v>
      </c>
      <c r="E418" s="1102" t="s">
        <v>144</v>
      </c>
      <c r="F418" s="1102" t="s">
        <v>145</v>
      </c>
      <c r="G418" s="1102" t="s">
        <v>402</v>
      </c>
      <c r="H418" s="1102" t="s">
        <v>1449</v>
      </c>
      <c r="I418" s="1102" t="s">
        <v>689</v>
      </c>
      <c r="J418" s="1102" t="s">
        <v>2053</v>
      </c>
      <c r="K418" s="1102" t="s">
        <v>1451</v>
      </c>
      <c r="L418" s="1102">
        <v>4</v>
      </c>
      <c r="M418" s="1102" t="s">
        <v>840</v>
      </c>
      <c r="N418" s="1102">
        <v>46104</v>
      </c>
      <c r="O418" s="1102" t="s">
        <v>70</v>
      </c>
      <c r="P418" s="1102" t="s">
        <v>195</v>
      </c>
      <c r="Q418" s="1102" t="s">
        <v>196</v>
      </c>
      <c r="R418" s="1102" t="s">
        <v>73</v>
      </c>
      <c r="S418" s="1102" t="s">
        <v>967</v>
      </c>
      <c r="T418" s="1102">
        <v>450</v>
      </c>
      <c r="U418" s="1102">
        <v>2808</v>
      </c>
      <c r="V418" s="1102">
        <v>1.2636000000000001</v>
      </c>
      <c r="W418" s="1102">
        <v>78</v>
      </c>
      <c r="X418" s="1102">
        <v>3</v>
      </c>
      <c r="Y418" s="1102" t="s">
        <v>75</v>
      </c>
      <c r="Z418" s="1102" t="s">
        <v>75</v>
      </c>
      <c r="AA418" s="1102" t="s">
        <v>2054</v>
      </c>
      <c r="AB418" s="1103">
        <v>46121</v>
      </c>
      <c r="AC418" s="1102">
        <v>15</v>
      </c>
      <c r="AD418" s="1102" t="s">
        <v>2060</v>
      </c>
      <c r="AF418" s="1102" t="s">
        <v>1891</v>
      </c>
      <c r="AG418" s="1102" t="s">
        <v>123</v>
      </c>
      <c r="AH418" s="1102" t="s">
        <v>105</v>
      </c>
      <c r="AI418" s="1103">
        <v>46124</v>
      </c>
      <c r="AJ418" s="1103">
        <v>46125</v>
      </c>
      <c r="AK418" s="1103">
        <v>46125</v>
      </c>
      <c r="AL418" s="1103">
        <v>46169</v>
      </c>
      <c r="AM418" s="1103">
        <v>46172</v>
      </c>
      <c r="AN418" s="1103">
        <v>46170</v>
      </c>
      <c r="AO418" s="1102" t="s">
        <v>402</v>
      </c>
      <c r="AP418" s="1102" t="s">
        <v>2045</v>
      </c>
      <c r="AQ418" s="1102" t="s">
        <v>80</v>
      </c>
      <c r="AR418" s="1102" t="s">
        <v>2061</v>
      </c>
      <c r="AS418" s="1102" t="s">
        <v>2062</v>
      </c>
      <c r="AT418" s="1102" t="s">
        <v>2062</v>
      </c>
      <c r="AU418" s="1102">
        <v>45</v>
      </c>
      <c r="AW418" s="1103">
        <v>46170</v>
      </c>
      <c r="AX418" s="1102" t="s">
        <v>973</v>
      </c>
      <c r="AY418" s="1103">
        <v>46183</v>
      </c>
      <c r="AZ418" s="1102">
        <v>0</v>
      </c>
      <c r="BA418" s="1103">
        <v>46170</v>
      </c>
      <c r="BB418" s="1102">
        <v>2026</v>
      </c>
      <c r="BC418" s="1102">
        <v>5</v>
      </c>
      <c r="BD418" s="1102">
        <v>22</v>
      </c>
      <c r="BE418" s="1102">
        <v>36</v>
      </c>
      <c r="BF418" s="1102">
        <v>936</v>
      </c>
      <c r="BG418" s="1102" t="s">
        <v>85</v>
      </c>
      <c r="BH418" s="1102" t="s">
        <v>109</v>
      </c>
    </row>
    <row r="419" spans="1:60">
      <c r="A419" s="1102" t="s">
        <v>2063</v>
      </c>
      <c r="B419" s="1102" t="s">
        <v>1888</v>
      </c>
      <c r="C419" s="1102" t="s">
        <v>1016</v>
      </c>
      <c r="D419" s="1102" t="s">
        <v>63</v>
      </c>
      <c r="E419" s="1102" t="s">
        <v>64</v>
      </c>
      <c r="F419" s="1102" t="s">
        <v>100</v>
      </c>
      <c r="G419" s="1102" t="s">
        <v>402</v>
      </c>
      <c r="H419" s="1102" t="s">
        <v>67</v>
      </c>
      <c r="I419" s="1102" t="s">
        <v>689</v>
      </c>
      <c r="J419" s="1102" t="s">
        <v>483</v>
      </c>
      <c r="M419" s="1102" t="s">
        <v>68</v>
      </c>
      <c r="N419" s="1102">
        <v>46104</v>
      </c>
      <c r="O419" s="1102" t="s">
        <v>70</v>
      </c>
      <c r="P419" s="1102" t="s">
        <v>195</v>
      </c>
      <c r="Q419" s="1102" t="s">
        <v>196</v>
      </c>
      <c r="R419" s="1102" t="s">
        <v>73</v>
      </c>
      <c r="S419" s="1102" t="s">
        <v>967</v>
      </c>
      <c r="T419" s="1102">
        <v>450</v>
      </c>
      <c r="U419" s="1102">
        <v>936</v>
      </c>
      <c r="V419" s="1102">
        <v>0.42120000000000002</v>
      </c>
      <c r="W419" s="1102">
        <v>26</v>
      </c>
      <c r="X419" s="1102">
        <v>1</v>
      </c>
      <c r="Y419" s="1102" t="s">
        <v>75</v>
      </c>
      <c r="Z419" s="1102" t="s">
        <v>75</v>
      </c>
      <c r="AA419" s="1102" t="s">
        <v>2054</v>
      </c>
      <c r="AB419" s="1103">
        <v>46120</v>
      </c>
      <c r="AC419" s="1102">
        <v>15</v>
      </c>
      <c r="AD419" s="1102" t="s">
        <v>2064</v>
      </c>
      <c r="AF419" s="1102" t="s">
        <v>1891</v>
      </c>
      <c r="AG419" s="1102" t="s">
        <v>123</v>
      </c>
      <c r="AH419" s="1102" t="s">
        <v>105</v>
      </c>
      <c r="AI419" s="1103">
        <v>46124</v>
      </c>
      <c r="AJ419" s="1103">
        <v>46125</v>
      </c>
      <c r="AK419" s="1103">
        <v>46125</v>
      </c>
      <c r="AL419" s="1103">
        <v>46165</v>
      </c>
      <c r="AM419" s="1103">
        <v>46165</v>
      </c>
      <c r="AN419" s="1103">
        <v>46166</v>
      </c>
      <c r="AO419" s="1102" t="s">
        <v>402</v>
      </c>
      <c r="AP419" s="1102" t="s">
        <v>2065</v>
      </c>
      <c r="AQ419" s="1102" t="s">
        <v>80</v>
      </c>
      <c r="AR419" s="1102" t="s">
        <v>2066</v>
      </c>
      <c r="AS419" s="1102" t="s">
        <v>2067</v>
      </c>
      <c r="AT419" s="1102" t="s">
        <v>2067</v>
      </c>
      <c r="AU419" s="1102">
        <v>41</v>
      </c>
      <c r="AW419" s="1103">
        <v>46166</v>
      </c>
      <c r="AX419" s="1102" t="s">
        <v>973</v>
      </c>
      <c r="AY419" s="1103">
        <v>46180</v>
      </c>
      <c r="AZ419" s="1102">
        <v>7</v>
      </c>
      <c r="BA419" s="1103">
        <v>46173</v>
      </c>
      <c r="BB419" s="1102">
        <v>2026</v>
      </c>
      <c r="BC419" s="1102">
        <v>5</v>
      </c>
      <c r="BD419" s="1102">
        <v>22</v>
      </c>
      <c r="BE419" s="1102">
        <v>36</v>
      </c>
      <c r="BF419" s="1102">
        <v>936</v>
      </c>
      <c r="BG419" s="1102" t="s">
        <v>85</v>
      </c>
      <c r="BH419" s="1102" t="s">
        <v>109</v>
      </c>
    </row>
    <row r="420" spans="1:60">
      <c r="A420" s="1102" t="s">
        <v>2068</v>
      </c>
      <c r="B420" s="1102" t="s">
        <v>1888</v>
      </c>
      <c r="C420" s="1102" t="s">
        <v>1016</v>
      </c>
      <c r="D420" s="1102" t="s">
        <v>63</v>
      </c>
      <c r="E420" s="1102" t="s">
        <v>64</v>
      </c>
      <c r="F420" s="1102" t="s">
        <v>100</v>
      </c>
      <c r="G420" s="1102" t="s">
        <v>402</v>
      </c>
      <c r="H420" s="1102" t="s">
        <v>67</v>
      </c>
      <c r="I420" s="1102" t="s">
        <v>689</v>
      </c>
      <c r="J420" s="1102" t="s">
        <v>483</v>
      </c>
      <c r="M420" s="1102" t="s">
        <v>68</v>
      </c>
      <c r="N420" s="1102">
        <v>46111</v>
      </c>
      <c r="O420" s="1102" t="s">
        <v>70</v>
      </c>
      <c r="P420" s="1102" t="s">
        <v>195</v>
      </c>
      <c r="Q420" s="1102" t="s">
        <v>196</v>
      </c>
      <c r="R420" s="1102" t="s">
        <v>73</v>
      </c>
      <c r="S420" s="1102" t="s">
        <v>967</v>
      </c>
      <c r="T420" s="1102">
        <v>450</v>
      </c>
      <c r="U420" s="1102">
        <v>936</v>
      </c>
      <c r="V420" s="1102">
        <v>0.42120000000000002</v>
      </c>
      <c r="W420" s="1102">
        <v>26</v>
      </c>
      <c r="X420" s="1102">
        <v>1</v>
      </c>
      <c r="Y420" s="1102" t="s">
        <v>75</v>
      </c>
      <c r="Z420" s="1102" t="s">
        <v>75</v>
      </c>
      <c r="AB420" s="1103">
        <v>46120</v>
      </c>
      <c r="AC420" s="1102">
        <v>15</v>
      </c>
      <c r="AD420" s="1102" t="s">
        <v>2069</v>
      </c>
      <c r="AF420" s="1102" t="s">
        <v>1891</v>
      </c>
      <c r="AG420" s="1102" t="s">
        <v>123</v>
      </c>
      <c r="AH420" s="1102" t="s">
        <v>105</v>
      </c>
      <c r="AI420" s="1103">
        <v>46124</v>
      </c>
      <c r="AJ420" s="1103">
        <v>46125</v>
      </c>
      <c r="AK420" s="1103">
        <v>46125</v>
      </c>
      <c r="AL420" s="1103">
        <v>46165</v>
      </c>
      <c r="AM420" s="1103">
        <v>46165</v>
      </c>
      <c r="AN420" s="1103">
        <v>46166</v>
      </c>
      <c r="AO420" s="1102" t="s">
        <v>402</v>
      </c>
      <c r="AP420" s="1102" t="s">
        <v>2065</v>
      </c>
      <c r="AQ420" s="1102" t="s">
        <v>80</v>
      </c>
      <c r="AR420" s="1102" t="s">
        <v>2066</v>
      </c>
      <c r="AS420" s="1102" t="s">
        <v>2067</v>
      </c>
      <c r="AT420" s="1102" t="s">
        <v>2067</v>
      </c>
      <c r="AU420" s="1102">
        <v>41</v>
      </c>
      <c r="AW420" s="1103">
        <v>46166</v>
      </c>
      <c r="AX420" s="1102" t="s">
        <v>973</v>
      </c>
      <c r="AY420" s="1103">
        <v>46180</v>
      </c>
      <c r="AZ420" s="1102">
        <v>7</v>
      </c>
      <c r="BA420" s="1103">
        <v>46173</v>
      </c>
      <c r="BB420" s="1102">
        <v>2026</v>
      </c>
      <c r="BC420" s="1102">
        <v>5</v>
      </c>
      <c r="BD420" s="1102">
        <v>22</v>
      </c>
      <c r="BE420" s="1102">
        <v>36</v>
      </c>
      <c r="BF420" s="1102">
        <v>936</v>
      </c>
      <c r="BG420" s="1102" t="s">
        <v>85</v>
      </c>
      <c r="BH420" s="1102" t="s">
        <v>109</v>
      </c>
    </row>
    <row r="421" spans="1:60">
      <c r="A421" s="1102" t="s">
        <v>1893</v>
      </c>
      <c r="B421" s="1102" t="s">
        <v>111</v>
      </c>
      <c r="C421" s="1102" t="s">
        <v>203</v>
      </c>
      <c r="D421" s="1102" t="s">
        <v>63</v>
      </c>
      <c r="E421" s="1102" t="s">
        <v>144</v>
      </c>
      <c r="F421" s="1102" t="s">
        <v>145</v>
      </c>
      <c r="G421" s="1102" t="s">
        <v>402</v>
      </c>
      <c r="H421" s="1102" t="s">
        <v>593</v>
      </c>
      <c r="I421" s="1102" t="s">
        <v>689</v>
      </c>
      <c r="J421" s="1102" t="s">
        <v>2070</v>
      </c>
      <c r="K421" s="1102" t="s">
        <v>2071</v>
      </c>
      <c r="M421" s="1102" t="s">
        <v>840</v>
      </c>
      <c r="N421" s="1102">
        <v>46111</v>
      </c>
      <c r="O421" s="1102" t="s">
        <v>132</v>
      </c>
      <c r="P421" s="1102" t="s">
        <v>1894</v>
      </c>
      <c r="Q421" s="1102" t="s">
        <v>1895</v>
      </c>
      <c r="R421" s="1102" t="s">
        <v>73</v>
      </c>
      <c r="S421" s="1102" t="s">
        <v>992</v>
      </c>
      <c r="T421" s="1102">
        <v>560</v>
      </c>
      <c r="U421" s="1102">
        <v>2640</v>
      </c>
      <c r="V421" s="1102">
        <v>1.4783999999999999</v>
      </c>
      <c r="W421" s="1102">
        <v>80</v>
      </c>
      <c r="X421" s="1102">
        <v>4</v>
      </c>
      <c r="Y421" s="1102" t="s">
        <v>951</v>
      </c>
      <c r="Z421" s="1102" t="s">
        <v>75</v>
      </c>
      <c r="AA421" s="1102" t="s">
        <v>1896</v>
      </c>
      <c r="AB421" s="1103">
        <v>46119</v>
      </c>
      <c r="AC421" s="1102">
        <v>15</v>
      </c>
      <c r="AD421" s="1102" t="s">
        <v>2072</v>
      </c>
      <c r="AF421" s="1102" t="s">
        <v>945</v>
      </c>
      <c r="AG421" s="1102" t="s">
        <v>123</v>
      </c>
      <c r="AH421" s="1102" t="s">
        <v>124</v>
      </c>
      <c r="AI421" s="1103">
        <v>46122</v>
      </c>
      <c r="AJ421" s="1103">
        <v>46122</v>
      </c>
      <c r="AK421" s="1103">
        <v>46124</v>
      </c>
      <c r="AL421" s="1103">
        <v>46177</v>
      </c>
      <c r="AM421" s="1103">
        <v>46207</v>
      </c>
      <c r="AN421" s="1103">
        <v>46207</v>
      </c>
      <c r="AO421" s="1102" t="s">
        <v>402</v>
      </c>
      <c r="AP421" s="1102" t="s">
        <v>2073</v>
      </c>
      <c r="AQ421" s="1102" t="s">
        <v>80</v>
      </c>
      <c r="AR421" s="1102" t="s">
        <v>2074</v>
      </c>
      <c r="AS421" s="1102" t="s">
        <v>2075</v>
      </c>
      <c r="AT421" s="1102" t="s">
        <v>2075</v>
      </c>
      <c r="AU421" s="1102">
        <v>83</v>
      </c>
      <c r="AW421" s="1103">
        <v>46207</v>
      </c>
      <c r="AX421" s="1102" t="s">
        <v>973</v>
      </c>
      <c r="AY421" s="1103">
        <v>46190</v>
      </c>
      <c r="AZ421" s="1102">
        <v>0</v>
      </c>
      <c r="BA421" s="1103">
        <v>46207</v>
      </c>
      <c r="BB421" s="1102">
        <v>2026</v>
      </c>
      <c r="BC421" s="1102">
        <v>7</v>
      </c>
      <c r="BD421" s="1102">
        <v>27</v>
      </c>
      <c r="BE421" s="1102">
        <v>33</v>
      </c>
      <c r="BF421" s="1102">
        <v>660</v>
      </c>
      <c r="BG421" s="1102" t="s">
        <v>108</v>
      </c>
      <c r="BH421" s="1102" t="s">
        <v>86</v>
      </c>
    </row>
    <row r="422" spans="1:60">
      <c r="A422" s="1102" t="s">
        <v>2076</v>
      </c>
      <c r="B422" s="1102" t="s">
        <v>111</v>
      </c>
      <c r="C422" s="1102" t="s">
        <v>1729</v>
      </c>
      <c r="D422" s="1102" t="s">
        <v>63</v>
      </c>
      <c r="E422" s="1102" t="s">
        <v>64</v>
      </c>
      <c r="F422" s="1102" t="s">
        <v>310</v>
      </c>
      <c r="G422" s="1102" t="s">
        <v>402</v>
      </c>
      <c r="H422" s="1102" t="s">
        <v>311</v>
      </c>
      <c r="I422" s="1102" t="s">
        <v>1395</v>
      </c>
      <c r="J422" s="1102" t="s">
        <v>96</v>
      </c>
      <c r="M422" s="1102" t="s">
        <v>68</v>
      </c>
      <c r="N422" s="1102">
        <v>46111</v>
      </c>
      <c r="O422" s="1102" t="s">
        <v>170</v>
      </c>
      <c r="P422" s="1102" t="s">
        <v>171</v>
      </c>
      <c r="Q422" s="1102" t="s">
        <v>1731</v>
      </c>
      <c r="R422" s="1102" t="s">
        <v>73</v>
      </c>
      <c r="S422" s="1102" t="s">
        <v>992</v>
      </c>
      <c r="T422" s="1102">
        <v>555</v>
      </c>
      <c r="U422" s="1102">
        <v>2640</v>
      </c>
      <c r="V422" s="1102">
        <v>1.4652000000000001</v>
      </c>
      <c r="W422" s="1102">
        <v>80</v>
      </c>
      <c r="X422" s="1102">
        <v>4</v>
      </c>
      <c r="Y422" s="1102" t="s">
        <v>75</v>
      </c>
      <c r="Z422" s="1102" t="s">
        <v>75</v>
      </c>
      <c r="AA422" s="1102" t="s">
        <v>2077</v>
      </c>
      <c r="AB422" s="1103">
        <v>46117</v>
      </c>
      <c r="AC422" s="1102">
        <v>14</v>
      </c>
      <c r="AD422" s="1102" t="s">
        <v>2078</v>
      </c>
      <c r="AF422" s="1102" t="s">
        <v>1999</v>
      </c>
      <c r="AG422" s="1102" t="s">
        <v>123</v>
      </c>
      <c r="AH422" s="1102" t="s">
        <v>314</v>
      </c>
      <c r="AI422" s="1103">
        <v>46122</v>
      </c>
      <c r="AJ422" s="1103">
        <v>46122</v>
      </c>
      <c r="AK422" s="1103">
        <v>46124</v>
      </c>
      <c r="AL422" s="1103">
        <v>46169</v>
      </c>
      <c r="AM422" s="1103">
        <v>46169</v>
      </c>
      <c r="AN422" s="1103">
        <v>46175</v>
      </c>
      <c r="AO422" s="1102" t="s">
        <v>402</v>
      </c>
      <c r="AP422" s="1102" t="s">
        <v>2073</v>
      </c>
      <c r="AQ422" s="1102" t="s">
        <v>80</v>
      </c>
      <c r="AR422" s="1102" t="s">
        <v>2079</v>
      </c>
      <c r="AS422" s="1102" t="s">
        <v>2080</v>
      </c>
      <c r="AT422" s="1102" t="s">
        <v>2080</v>
      </c>
      <c r="AU422" s="1102">
        <v>51</v>
      </c>
      <c r="AW422" s="1103">
        <v>46175</v>
      </c>
      <c r="AX422" s="1102" t="s">
        <v>973</v>
      </c>
      <c r="AY422" s="1103">
        <v>46189</v>
      </c>
      <c r="AZ422" s="1102">
        <v>13</v>
      </c>
      <c r="BA422" s="1103">
        <v>46188</v>
      </c>
      <c r="BB422" s="1102">
        <v>2026</v>
      </c>
      <c r="BC422" s="1102">
        <v>6</v>
      </c>
      <c r="BD422" s="1102">
        <v>25</v>
      </c>
      <c r="BE422" s="1102">
        <v>33</v>
      </c>
      <c r="BF422" s="1102">
        <v>660</v>
      </c>
      <c r="BG422" s="1102" t="s">
        <v>108</v>
      </c>
      <c r="BH422" s="1102" t="s">
        <v>86</v>
      </c>
    </row>
    <row r="423" spans="1:60">
      <c r="A423" s="1102" t="s">
        <v>2081</v>
      </c>
      <c r="B423" s="1102" t="s">
        <v>111</v>
      </c>
      <c r="C423" s="1102" t="s">
        <v>1729</v>
      </c>
      <c r="D423" s="1102" t="s">
        <v>63</v>
      </c>
      <c r="E423" s="1102" t="s">
        <v>64</v>
      </c>
      <c r="F423" s="1102" t="s">
        <v>310</v>
      </c>
      <c r="G423" s="1102" t="s">
        <v>402</v>
      </c>
      <c r="H423" s="1102" t="s">
        <v>311</v>
      </c>
      <c r="I423" s="1102" t="s">
        <v>1395</v>
      </c>
      <c r="J423" s="1102" t="s">
        <v>96</v>
      </c>
      <c r="M423" s="1102" t="s">
        <v>68</v>
      </c>
      <c r="N423" s="1102">
        <v>46111</v>
      </c>
      <c r="O423" s="1102" t="s">
        <v>170</v>
      </c>
      <c r="P423" s="1102" t="s">
        <v>171</v>
      </c>
      <c r="Q423" s="1102" t="s">
        <v>1731</v>
      </c>
      <c r="R423" s="1102" t="s">
        <v>73</v>
      </c>
      <c r="S423" s="1102" t="s">
        <v>992</v>
      </c>
      <c r="T423" s="1102">
        <v>555</v>
      </c>
      <c r="U423" s="1102">
        <v>660</v>
      </c>
      <c r="V423" s="1102">
        <v>0.36630000000000001</v>
      </c>
      <c r="W423" s="1102">
        <v>20</v>
      </c>
      <c r="X423" s="1102">
        <v>1</v>
      </c>
      <c r="Y423" s="1102" t="s">
        <v>75</v>
      </c>
      <c r="Z423" s="1102" t="s">
        <v>75</v>
      </c>
      <c r="AA423" s="1102" t="s">
        <v>2082</v>
      </c>
      <c r="AB423" s="1103">
        <v>46117</v>
      </c>
      <c r="AC423" s="1102">
        <v>14</v>
      </c>
      <c r="AD423" s="1102" t="s">
        <v>2083</v>
      </c>
      <c r="AF423" s="1102" t="s">
        <v>1999</v>
      </c>
      <c r="AG423" s="1102" t="s">
        <v>123</v>
      </c>
      <c r="AH423" s="1102" t="s">
        <v>1561</v>
      </c>
      <c r="AI423" s="1103">
        <v>46122</v>
      </c>
      <c r="AJ423" s="1103">
        <v>46122</v>
      </c>
      <c r="AK423" s="1103">
        <v>46124</v>
      </c>
      <c r="AL423" s="1103">
        <v>46166</v>
      </c>
      <c r="AM423" s="1103">
        <v>46174</v>
      </c>
      <c r="AN423" s="1103">
        <v>46174</v>
      </c>
      <c r="AO423" s="1102" t="s">
        <v>402</v>
      </c>
      <c r="AP423" s="1102" t="s">
        <v>2073</v>
      </c>
      <c r="AQ423" s="1102" t="s">
        <v>80</v>
      </c>
      <c r="AR423" s="1102" t="s">
        <v>2084</v>
      </c>
      <c r="AS423" s="1102" t="s">
        <v>2085</v>
      </c>
      <c r="AT423" s="1102" t="s">
        <v>2085</v>
      </c>
      <c r="AU423" s="1102">
        <v>50</v>
      </c>
      <c r="AW423" s="1103">
        <v>46174</v>
      </c>
      <c r="AX423" s="1102" t="s">
        <v>973</v>
      </c>
      <c r="AY423" s="1103">
        <v>46188</v>
      </c>
      <c r="AZ423" s="1102">
        <v>13</v>
      </c>
      <c r="BA423" s="1103">
        <v>46187</v>
      </c>
      <c r="BB423" s="1102">
        <v>2026</v>
      </c>
      <c r="BC423" s="1102">
        <v>6</v>
      </c>
      <c r="BD423" s="1102">
        <v>24</v>
      </c>
      <c r="BE423" s="1102">
        <v>33</v>
      </c>
      <c r="BF423" s="1102">
        <v>660</v>
      </c>
      <c r="BG423" s="1102" t="s">
        <v>108</v>
      </c>
      <c r="BH423" s="1102" t="s">
        <v>86</v>
      </c>
    </row>
    <row r="424" spans="1:60">
      <c r="A424" s="1102" t="s">
        <v>2086</v>
      </c>
      <c r="B424" s="1102" t="s">
        <v>61</v>
      </c>
      <c r="C424" s="1102" t="s">
        <v>2087</v>
      </c>
      <c r="D424" s="1102" t="s">
        <v>63</v>
      </c>
      <c r="E424" s="1102" t="s">
        <v>64</v>
      </c>
      <c r="F424" s="1102" t="s">
        <v>65</v>
      </c>
      <c r="G424" s="1102" t="s">
        <v>402</v>
      </c>
      <c r="H424" s="1102" t="s">
        <v>67</v>
      </c>
      <c r="I424" s="1102" t="s">
        <v>869</v>
      </c>
      <c r="J424" s="1102" t="s">
        <v>96</v>
      </c>
      <c r="M424" s="1102" t="s">
        <v>68</v>
      </c>
      <c r="N424" s="1102">
        <v>46111</v>
      </c>
      <c r="O424" s="1102" t="s">
        <v>70</v>
      </c>
      <c r="P424" s="1102" t="s">
        <v>706</v>
      </c>
      <c r="Q424" s="1102" t="s">
        <v>707</v>
      </c>
      <c r="R424" s="1102" t="s">
        <v>73</v>
      </c>
      <c r="S424" s="1102" t="s">
        <v>967</v>
      </c>
      <c r="T424" s="1102">
        <v>500</v>
      </c>
      <c r="U424" s="1102">
        <v>3456</v>
      </c>
      <c r="V424" s="1102">
        <v>1.728</v>
      </c>
      <c r="W424" s="1102">
        <v>96</v>
      </c>
      <c r="X424" s="1102">
        <v>4</v>
      </c>
      <c r="Y424" s="1102" t="s">
        <v>951</v>
      </c>
      <c r="Z424" s="1102" t="s">
        <v>75</v>
      </c>
      <c r="AA424" s="1102" t="s">
        <v>2088</v>
      </c>
      <c r="AB424" s="1103">
        <v>46119</v>
      </c>
      <c r="AC424" s="1102">
        <v>15</v>
      </c>
      <c r="AD424" s="1102" t="s">
        <v>2089</v>
      </c>
      <c r="AF424" s="1102" t="s">
        <v>1935</v>
      </c>
      <c r="AG424" s="1102" t="s">
        <v>61</v>
      </c>
      <c r="AH424" s="1102" t="s">
        <v>78</v>
      </c>
      <c r="AI424" s="1103">
        <v>46123</v>
      </c>
      <c r="AJ424" s="1103">
        <v>46123</v>
      </c>
      <c r="AK424" s="1103">
        <v>46122</v>
      </c>
      <c r="AL424" s="1103">
        <v>46188</v>
      </c>
      <c r="AM424" s="1103">
        <v>46193</v>
      </c>
      <c r="AN424" s="1103">
        <v>46195</v>
      </c>
      <c r="AO424" s="1102" t="s">
        <v>402</v>
      </c>
      <c r="AP424" s="1102" t="s">
        <v>2090</v>
      </c>
      <c r="AQ424" s="1102" t="s">
        <v>80</v>
      </c>
      <c r="AR424" s="1102" t="s">
        <v>2091</v>
      </c>
      <c r="AS424" s="1102" t="s">
        <v>2092</v>
      </c>
      <c r="AT424" s="1102" t="s">
        <v>2092</v>
      </c>
      <c r="AU424" s="1102">
        <v>73</v>
      </c>
      <c r="AW424" s="1103">
        <v>46195</v>
      </c>
      <c r="AX424" s="1102" t="s">
        <v>973</v>
      </c>
      <c r="AY424" s="1103">
        <v>46205</v>
      </c>
      <c r="AZ424" s="1102">
        <v>8</v>
      </c>
      <c r="BA424" s="1103">
        <v>46203</v>
      </c>
      <c r="BB424" s="1102">
        <v>2026</v>
      </c>
      <c r="BC424" s="1102">
        <v>6</v>
      </c>
      <c r="BD424" s="1102">
        <v>27</v>
      </c>
      <c r="BE424" s="1102">
        <v>36</v>
      </c>
      <c r="BF424" s="1102">
        <v>864</v>
      </c>
      <c r="BG424" s="1102" t="s">
        <v>85</v>
      </c>
      <c r="BH424" s="1102" t="s">
        <v>86</v>
      </c>
    </row>
    <row r="425" spans="1:60">
      <c r="A425" s="1102" t="s">
        <v>2093</v>
      </c>
      <c r="B425" s="1102" t="s">
        <v>61</v>
      </c>
      <c r="C425" s="1102" t="s">
        <v>1940</v>
      </c>
      <c r="D425" s="1102" t="s">
        <v>63</v>
      </c>
      <c r="E425" s="1102" t="s">
        <v>64</v>
      </c>
      <c r="F425" s="1102" t="s">
        <v>65</v>
      </c>
      <c r="G425" s="1102" t="s">
        <v>402</v>
      </c>
      <c r="H425" s="1102" t="s">
        <v>67</v>
      </c>
      <c r="I425" s="1102" t="s">
        <v>882</v>
      </c>
      <c r="J425" s="1102" t="s">
        <v>96</v>
      </c>
      <c r="M425" s="1102" t="s">
        <v>68</v>
      </c>
      <c r="N425" s="1102">
        <v>46111</v>
      </c>
      <c r="O425" s="1102" t="s">
        <v>70</v>
      </c>
      <c r="P425" s="1102" t="s">
        <v>91</v>
      </c>
      <c r="Q425" s="1102" t="s">
        <v>92</v>
      </c>
      <c r="R425" s="1102" t="s">
        <v>73</v>
      </c>
      <c r="S425" s="1102" t="s">
        <v>967</v>
      </c>
      <c r="T425" s="1102">
        <v>450</v>
      </c>
      <c r="U425" s="1102">
        <v>936</v>
      </c>
      <c r="V425" s="1102">
        <v>0.42120000000000002</v>
      </c>
      <c r="W425" s="1102">
        <v>26</v>
      </c>
      <c r="X425" s="1102">
        <v>1</v>
      </c>
      <c r="Y425" s="1102" t="s">
        <v>75</v>
      </c>
      <c r="Z425" s="1102" t="s">
        <v>75</v>
      </c>
      <c r="AA425" s="1102" t="s">
        <v>1991</v>
      </c>
      <c r="AB425" s="1103">
        <v>46119</v>
      </c>
      <c r="AC425" s="1102">
        <v>15</v>
      </c>
      <c r="AD425" s="1102" t="s">
        <v>2094</v>
      </c>
      <c r="AF425" s="1102" t="s">
        <v>1935</v>
      </c>
      <c r="AG425" s="1102" t="s">
        <v>61</v>
      </c>
      <c r="AH425" s="1102" t="s">
        <v>356</v>
      </c>
      <c r="AI425" s="1103">
        <v>46123</v>
      </c>
      <c r="AJ425" s="1103">
        <v>46123</v>
      </c>
      <c r="AK425" s="1103">
        <v>46122</v>
      </c>
      <c r="AL425" s="1103">
        <v>46175</v>
      </c>
      <c r="AM425" s="1103">
        <v>46174</v>
      </c>
      <c r="AN425" s="1103">
        <v>46175</v>
      </c>
      <c r="AO425" s="1102" t="s">
        <v>402</v>
      </c>
      <c r="AP425" s="1102" t="s">
        <v>2090</v>
      </c>
      <c r="AQ425" s="1102" t="s">
        <v>80</v>
      </c>
      <c r="AR425" s="1102" t="s">
        <v>2095</v>
      </c>
      <c r="AS425" s="1102" t="s">
        <v>2096</v>
      </c>
      <c r="AT425" s="1102" t="s">
        <v>2096</v>
      </c>
      <c r="AU425" s="1102">
        <v>53</v>
      </c>
      <c r="AW425" s="1103">
        <v>46175</v>
      </c>
      <c r="AX425" s="1102" t="s">
        <v>973</v>
      </c>
      <c r="AY425" s="1103">
        <v>46188</v>
      </c>
      <c r="AZ425" s="1102">
        <v>8</v>
      </c>
      <c r="BA425" s="1103">
        <v>46183</v>
      </c>
      <c r="BB425" s="1102">
        <v>2026</v>
      </c>
      <c r="BC425" s="1102">
        <v>6</v>
      </c>
      <c r="BD425" s="1102">
        <v>24</v>
      </c>
      <c r="BE425" s="1102">
        <v>36</v>
      </c>
      <c r="BF425" s="1102">
        <v>936</v>
      </c>
      <c r="BG425" s="1102" t="s">
        <v>94</v>
      </c>
      <c r="BH425" s="1102" t="s">
        <v>109</v>
      </c>
    </row>
    <row r="426" spans="1:60">
      <c r="A426" s="1102" t="s">
        <v>2097</v>
      </c>
      <c r="B426" s="1102" t="s">
        <v>61</v>
      </c>
      <c r="C426" s="1102" t="s">
        <v>2087</v>
      </c>
      <c r="D426" s="1102" t="s">
        <v>63</v>
      </c>
      <c r="E426" s="1102" t="s">
        <v>64</v>
      </c>
      <c r="F426" s="1102" t="s">
        <v>65</v>
      </c>
      <c r="G426" s="1102" t="s">
        <v>402</v>
      </c>
      <c r="H426" s="1102" t="s">
        <v>67</v>
      </c>
      <c r="I426" s="1102" t="s">
        <v>869</v>
      </c>
      <c r="J426" s="1102" t="s">
        <v>96</v>
      </c>
      <c r="M426" s="1102" t="s">
        <v>68</v>
      </c>
      <c r="N426" s="1102">
        <v>46111</v>
      </c>
      <c r="O426" s="1102" t="s">
        <v>70</v>
      </c>
      <c r="P426" s="1102" t="s">
        <v>706</v>
      </c>
      <c r="Q426" s="1102" t="s">
        <v>707</v>
      </c>
      <c r="R426" s="1102" t="s">
        <v>73</v>
      </c>
      <c r="S426" s="1102" t="s">
        <v>967</v>
      </c>
      <c r="T426" s="1102">
        <v>500</v>
      </c>
      <c r="U426" s="1102">
        <v>864</v>
      </c>
      <c r="V426" s="1102">
        <v>0.432</v>
      </c>
      <c r="W426" s="1102">
        <v>24</v>
      </c>
      <c r="X426" s="1102">
        <v>1</v>
      </c>
      <c r="Y426" s="1102" t="s">
        <v>951</v>
      </c>
      <c r="Z426" s="1102" t="s">
        <v>75</v>
      </c>
      <c r="AA426" s="1102" t="s">
        <v>2088</v>
      </c>
      <c r="AB426" s="1103">
        <v>46121</v>
      </c>
      <c r="AC426" s="1102">
        <v>15</v>
      </c>
      <c r="AD426" s="1102" t="s">
        <v>2098</v>
      </c>
      <c r="AF426" s="1102" t="s">
        <v>1935</v>
      </c>
      <c r="AG426" s="1102" t="s">
        <v>61</v>
      </c>
      <c r="AH426" s="1102" t="s">
        <v>356</v>
      </c>
      <c r="AI426" s="1103">
        <v>46128</v>
      </c>
      <c r="AJ426" s="1103">
        <v>46136</v>
      </c>
      <c r="AK426" s="1103">
        <v>46136</v>
      </c>
      <c r="AL426" s="1103">
        <v>46182</v>
      </c>
      <c r="AM426" s="1103">
        <v>46196</v>
      </c>
      <c r="AN426" s="1103">
        <v>46203</v>
      </c>
      <c r="AO426" s="1102" t="s">
        <v>402</v>
      </c>
      <c r="AP426" s="1102" t="s">
        <v>2099</v>
      </c>
      <c r="AQ426" s="1102" t="s">
        <v>161</v>
      </c>
      <c r="AR426" s="1102" t="s">
        <v>2100</v>
      </c>
      <c r="AS426" s="1102" t="s">
        <v>2101</v>
      </c>
      <c r="AT426" s="1102" t="s">
        <v>2101</v>
      </c>
      <c r="AU426" s="1102">
        <v>67</v>
      </c>
      <c r="AW426" s="1103">
        <v>46203</v>
      </c>
      <c r="AX426" s="1102" t="s">
        <v>973</v>
      </c>
      <c r="AY426" s="1103">
        <v>46209</v>
      </c>
      <c r="AZ426" s="1102">
        <v>8</v>
      </c>
      <c r="BA426" s="1103">
        <v>46211</v>
      </c>
      <c r="BB426" s="1102">
        <v>2026</v>
      </c>
      <c r="BC426" s="1102">
        <v>7</v>
      </c>
      <c r="BD426" s="1102">
        <v>28</v>
      </c>
      <c r="BE426" s="1102">
        <v>36</v>
      </c>
      <c r="BF426" s="1102">
        <v>864</v>
      </c>
      <c r="BG426" s="1102" t="s">
        <v>85</v>
      </c>
      <c r="BH426" s="1102" t="s">
        <v>109</v>
      </c>
    </row>
    <row r="427" spans="1:60">
      <c r="A427" s="1102" t="s">
        <v>2102</v>
      </c>
      <c r="B427" s="1102" t="s">
        <v>61</v>
      </c>
      <c r="C427" s="1102" t="s">
        <v>1940</v>
      </c>
      <c r="D427" s="1102" t="s">
        <v>63</v>
      </c>
      <c r="E427" s="1102" t="s">
        <v>64</v>
      </c>
      <c r="F427" s="1102" t="s">
        <v>65</v>
      </c>
      <c r="G427" s="1102" t="s">
        <v>402</v>
      </c>
      <c r="H427" s="1102" t="s">
        <v>67</v>
      </c>
      <c r="I427" s="1102" t="s">
        <v>1395</v>
      </c>
      <c r="J427" s="1102" t="s">
        <v>96</v>
      </c>
      <c r="M427" s="1102" t="s">
        <v>68</v>
      </c>
      <c r="N427" s="1102">
        <v>46104</v>
      </c>
      <c r="O427" s="1102" t="s">
        <v>70</v>
      </c>
      <c r="P427" s="1102" t="s">
        <v>91</v>
      </c>
      <c r="Q427" s="1102" t="s">
        <v>92</v>
      </c>
      <c r="R427" s="1102" t="s">
        <v>73</v>
      </c>
      <c r="S427" s="1102" t="s">
        <v>967</v>
      </c>
      <c r="T427" s="1102">
        <v>450</v>
      </c>
      <c r="U427" s="1102">
        <v>0</v>
      </c>
      <c r="V427" s="1102">
        <v>0</v>
      </c>
      <c r="W427" s="1102">
        <v>0</v>
      </c>
      <c r="X427" s="1102">
        <v>0</v>
      </c>
      <c r="Y427" s="1102" t="s">
        <v>951</v>
      </c>
      <c r="Z427" s="1102" t="s">
        <v>75</v>
      </c>
      <c r="AA427" s="1102" t="s">
        <v>1907</v>
      </c>
      <c r="AB427" s="1103">
        <v>46121</v>
      </c>
      <c r="AC427" s="1102">
        <v>15</v>
      </c>
      <c r="AD427" s="1102" t="s">
        <v>2103</v>
      </c>
      <c r="AF427" s="1102" t="s">
        <v>1935</v>
      </c>
      <c r="AG427" s="1102" t="s">
        <v>61</v>
      </c>
      <c r="AH427" s="1102" t="s">
        <v>356</v>
      </c>
      <c r="AI427" s="1103">
        <v>46128</v>
      </c>
      <c r="AJ427" s="1103">
        <v>46136</v>
      </c>
      <c r="AK427" s="1103">
        <v>46136</v>
      </c>
      <c r="AL427" s="1103">
        <v>46182</v>
      </c>
      <c r="AM427" s="1103">
        <v>46196</v>
      </c>
      <c r="AN427" s="1103">
        <v>46203</v>
      </c>
      <c r="AO427" s="1102" t="s">
        <v>402</v>
      </c>
      <c r="AP427" s="1102" t="s">
        <v>2099</v>
      </c>
      <c r="AQ427" s="1102" t="s">
        <v>161</v>
      </c>
      <c r="AR427" s="1102" t="s">
        <v>2100</v>
      </c>
      <c r="AS427" s="1102" t="s">
        <v>2101</v>
      </c>
      <c r="AT427" s="1102" t="s">
        <v>2101</v>
      </c>
      <c r="AU427" s="1102">
        <v>67</v>
      </c>
      <c r="AW427" s="1103">
        <v>46203</v>
      </c>
      <c r="AX427" s="1102" t="s">
        <v>973</v>
      </c>
      <c r="AY427" s="1103">
        <v>46208</v>
      </c>
      <c r="AZ427" s="1102">
        <v>8</v>
      </c>
      <c r="BA427" s="1103">
        <v>46211</v>
      </c>
      <c r="BB427" s="1102">
        <v>2026</v>
      </c>
      <c r="BC427" s="1102">
        <v>7</v>
      </c>
      <c r="BD427" s="1102">
        <v>28</v>
      </c>
      <c r="BE427" s="1102">
        <v>36</v>
      </c>
      <c r="BF427" s="1102">
        <v>936</v>
      </c>
      <c r="BG427" s="1102" t="s">
        <v>94</v>
      </c>
      <c r="BH427" s="1102" t="s">
        <v>109</v>
      </c>
    </row>
    <row r="428" spans="1:60">
      <c r="A428" s="1102" t="s">
        <v>2104</v>
      </c>
      <c r="B428" s="1102" t="s">
        <v>61</v>
      </c>
      <c r="C428" s="1102" t="s">
        <v>1838</v>
      </c>
      <c r="D428" s="1102" t="s">
        <v>63</v>
      </c>
      <c r="E428" s="1102" t="s">
        <v>64</v>
      </c>
      <c r="F428" s="1102" t="s">
        <v>65</v>
      </c>
      <c r="G428" s="1102" t="s">
        <v>402</v>
      </c>
      <c r="H428" s="1102" t="s">
        <v>67</v>
      </c>
      <c r="I428" s="1102" t="s">
        <v>2004</v>
      </c>
      <c r="J428" s="1102" t="s">
        <v>96</v>
      </c>
      <c r="M428" s="1102" t="s">
        <v>68</v>
      </c>
      <c r="N428" s="1102">
        <v>46111</v>
      </c>
      <c r="O428" s="1102" t="s">
        <v>70</v>
      </c>
      <c r="P428" s="1102" t="s">
        <v>204</v>
      </c>
      <c r="Q428" s="1102" t="s">
        <v>205</v>
      </c>
      <c r="R428" s="1102" t="s">
        <v>73</v>
      </c>
      <c r="S428" s="1102" t="s">
        <v>967</v>
      </c>
      <c r="T428" s="1102">
        <v>455</v>
      </c>
      <c r="U428" s="1102">
        <v>3744</v>
      </c>
      <c r="V428" s="1102">
        <v>1.7035199999999999</v>
      </c>
      <c r="W428" s="1102">
        <v>104</v>
      </c>
      <c r="X428" s="1102">
        <v>4</v>
      </c>
      <c r="Y428" s="1102" t="s">
        <v>951</v>
      </c>
      <c r="Z428" s="1102" t="s">
        <v>75</v>
      </c>
      <c r="AA428" s="1102" t="s">
        <v>1896</v>
      </c>
      <c r="AB428" s="1103">
        <v>46126</v>
      </c>
      <c r="AC428" s="1102">
        <v>16</v>
      </c>
      <c r="AD428" s="1102" t="s">
        <v>2105</v>
      </c>
      <c r="AF428" s="1102" t="s">
        <v>1935</v>
      </c>
      <c r="AG428" s="1102" t="s">
        <v>61</v>
      </c>
      <c r="AH428" s="1102" t="s">
        <v>356</v>
      </c>
      <c r="AI428" s="1103">
        <v>46131</v>
      </c>
      <c r="AJ428" s="1103">
        <v>46131</v>
      </c>
      <c r="AK428" s="1103">
        <v>46131</v>
      </c>
      <c r="AL428" s="1103">
        <v>46182</v>
      </c>
      <c r="AM428" s="1103">
        <v>46196</v>
      </c>
      <c r="AN428" s="1103">
        <v>46190</v>
      </c>
      <c r="AO428" s="1102" t="s">
        <v>402</v>
      </c>
      <c r="AP428" s="1102" t="s">
        <v>2106</v>
      </c>
      <c r="AQ428" s="1102" t="s">
        <v>161</v>
      </c>
      <c r="AR428" s="1102" t="s">
        <v>2107</v>
      </c>
      <c r="AS428" s="1102" t="s">
        <v>2108</v>
      </c>
      <c r="AT428" s="1102">
        <v>273285267</v>
      </c>
      <c r="AU428" s="1102">
        <v>59</v>
      </c>
      <c r="AW428" s="1103">
        <v>46190</v>
      </c>
      <c r="AX428" s="1102" t="s">
        <v>973</v>
      </c>
      <c r="AY428" s="1103">
        <v>46202</v>
      </c>
      <c r="AZ428" s="1102">
        <v>8</v>
      </c>
      <c r="BA428" s="1103">
        <v>46198</v>
      </c>
      <c r="BB428" s="1102">
        <v>2026</v>
      </c>
      <c r="BC428" s="1102">
        <v>6</v>
      </c>
      <c r="BD428" s="1102">
        <v>26</v>
      </c>
      <c r="BE428" s="1102">
        <v>36</v>
      </c>
      <c r="BF428" s="1102">
        <v>936</v>
      </c>
      <c r="BG428" s="1102" t="s">
        <v>94</v>
      </c>
      <c r="BH428" s="1102" t="s">
        <v>109</v>
      </c>
    </row>
    <row r="429" spans="1:60">
      <c r="A429" s="1102" t="s">
        <v>2109</v>
      </c>
      <c r="B429" s="1102" t="s">
        <v>61</v>
      </c>
      <c r="C429" s="1102" t="s">
        <v>1838</v>
      </c>
      <c r="D429" s="1102" t="s">
        <v>63</v>
      </c>
      <c r="E429" s="1102" t="s">
        <v>64</v>
      </c>
      <c r="F429" s="1102" t="s">
        <v>65</v>
      </c>
      <c r="G429" s="1102" t="s">
        <v>402</v>
      </c>
      <c r="H429" s="1102" t="s">
        <v>67</v>
      </c>
      <c r="I429" s="1102" t="s">
        <v>1395</v>
      </c>
      <c r="J429" s="1102" t="s">
        <v>96</v>
      </c>
      <c r="M429" s="1102" t="s">
        <v>68</v>
      </c>
      <c r="N429" s="1102">
        <v>46111</v>
      </c>
      <c r="O429" s="1102" t="s">
        <v>70</v>
      </c>
      <c r="P429" s="1102" t="s">
        <v>204</v>
      </c>
      <c r="Q429" s="1102" t="s">
        <v>205</v>
      </c>
      <c r="R429" s="1102" t="s">
        <v>73</v>
      </c>
      <c r="S429" s="1102" t="s">
        <v>967</v>
      </c>
      <c r="T429" s="1102">
        <v>455</v>
      </c>
      <c r="U429" s="1102">
        <v>5616</v>
      </c>
      <c r="V429" s="1102">
        <v>2.5552800000000002</v>
      </c>
      <c r="W429" s="1102">
        <v>156</v>
      </c>
      <c r="X429" s="1102">
        <v>6</v>
      </c>
      <c r="Y429" s="1102" t="s">
        <v>951</v>
      </c>
      <c r="Z429" s="1102" t="s">
        <v>75</v>
      </c>
      <c r="AA429" s="1102" t="s">
        <v>1896</v>
      </c>
      <c r="AB429" s="1103">
        <v>46126</v>
      </c>
      <c r="AC429" s="1102">
        <v>16</v>
      </c>
      <c r="AD429" s="1102" t="s">
        <v>2110</v>
      </c>
      <c r="AF429" s="1102" t="s">
        <v>1935</v>
      </c>
      <c r="AG429" s="1102" t="s">
        <v>61</v>
      </c>
      <c r="AH429" s="1102" t="s">
        <v>356</v>
      </c>
      <c r="AI429" s="1103">
        <v>46131</v>
      </c>
      <c r="AJ429" s="1103">
        <v>46131</v>
      </c>
      <c r="AK429" s="1103">
        <v>46131</v>
      </c>
      <c r="AL429" s="1103">
        <v>46182</v>
      </c>
      <c r="AM429" s="1103">
        <v>46196</v>
      </c>
      <c r="AN429" s="1103">
        <v>46190</v>
      </c>
      <c r="AO429" s="1102" t="s">
        <v>402</v>
      </c>
      <c r="AP429" s="1102" t="s">
        <v>2106</v>
      </c>
      <c r="AQ429" s="1102" t="s">
        <v>161</v>
      </c>
      <c r="AR429" s="1102" t="s">
        <v>2107</v>
      </c>
      <c r="AS429" s="1102" t="s">
        <v>2108</v>
      </c>
      <c r="AT429" s="1102">
        <v>273285267</v>
      </c>
      <c r="AU429" s="1102">
        <v>59</v>
      </c>
      <c r="AW429" s="1103">
        <v>46190</v>
      </c>
      <c r="AX429" s="1102" t="s">
        <v>973</v>
      </c>
      <c r="AY429" s="1103">
        <v>46202</v>
      </c>
      <c r="AZ429" s="1102">
        <v>8</v>
      </c>
      <c r="BA429" s="1103">
        <v>46198</v>
      </c>
      <c r="BB429" s="1102">
        <v>2026</v>
      </c>
      <c r="BC429" s="1102">
        <v>6</v>
      </c>
      <c r="BD429" s="1102">
        <v>26</v>
      </c>
      <c r="BE429" s="1102">
        <v>36</v>
      </c>
      <c r="BF429" s="1102">
        <v>936</v>
      </c>
      <c r="BG429" s="1102" t="s">
        <v>94</v>
      </c>
      <c r="BH429" s="1102" t="s">
        <v>109</v>
      </c>
    </row>
    <row r="430" spans="1:60">
      <c r="A430" s="1102" t="s">
        <v>2111</v>
      </c>
      <c r="B430" s="1102" t="s">
        <v>1888</v>
      </c>
      <c r="C430" s="1102" t="s">
        <v>1016</v>
      </c>
      <c r="D430" s="1102" t="s">
        <v>63</v>
      </c>
      <c r="E430" s="1102" t="s">
        <v>144</v>
      </c>
      <c r="F430" s="1102" t="s">
        <v>145</v>
      </c>
      <c r="G430" s="1102" t="s">
        <v>402</v>
      </c>
      <c r="H430" s="1102" t="s">
        <v>538</v>
      </c>
      <c r="I430" s="1102" t="s">
        <v>689</v>
      </c>
      <c r="J430" s="1102" t="s">
        <v>1615</v>
      </c>
      <c r="K430" s="1102" t="s">
        <v>1538</v>
      </c>
      <c r="M430" s="1102" t="s">
        <v>840</v>
      </c>
      <c r="N430" s="1102">
        <v>46076</v>
      </c>
      <c r="O430" s="1102" t="s">
        <v>70</v>
      </c>
      <c r="P430" s="1102" t="s">
        <v>195</v>
      </c>
      <c r="Q430" s="1102" t="s">
        <v>196</v>
      </c>
      <c r="R430" s="1102" t="s">
        <v>73</v>
      </c>
      <c r="S430" s="1102" t="s">
        <v>967</v>
      </c>
      <c r="T430" s="1102">
        <v>450</v>
      </c>
      <c r="U430" s="1102">
        <v>936</v>
      </c>
      <c r="V430" s="1102">
        <v>0.42120000000000002</v>
      </c>
      <c r="W430" s="1102">
        <v>26</v>
      </c>
      <c r="X430" s="1102">
        <v>1</v>
      </c>
      <c r="Y430" s="1102" t="s">
        <v>951</v>
      </c>
      <c r="Z430" s="1102" t="s">
        <v>75</v>
      </c>
      <c r="AA430" s="1102" t="s">
        <v>1889</v>
      </c>
      <c r="AB430" s="1103">
        <v>46128</v>
      </c>
      <c r="AC430" s="1102">
        <v>16</v>
      </c>
      <c r="AD430" s="1102" t="s">
        <v>2112</v>
      </c>
      <c r="AF430" s="1102" t="s">
        <v>1891</v>
      </c>
      <c r="AG430" s="1102" t="s">
        <v>123</v>
      </c>
      <c r="AH430" s="1102" t="s">
        <v>541</v>
      </c>
      <c r="AI430" s="1103">
        <v>46131</v>
      </c>
      <c r="AJ430" s="1103">
        <v>46141</v>
      </c>
      <c r="AK430" s="1103">
        <v>46141</v>
      </c>
      <c r="AL430" s="1103">
        <v>46192</v>
      </c>
      <c r="AM430" s="1103">
        <v>46188</v>
      </c>
      <c r="AN430" s="1103">
        <v>46190</v>
      </c>
      <c r="AO430" s="1102" t="s">
        <v>402</v>
      </c>
      <c r="AP430" s="1102" t="s">
        <v>2113</v>
      </c>
      <c r="AQ430" s="1102" t="s">
        <v>80</v>
      </c>
      <c r="AR430" s="1102" t="s">
        <v>2114</v>
      </c>
      <c r="AS430" s="1102" t="s">
        <v>2115</v>
      </c>
      <c r="AT430" s="1102" t="s">
        <v>2115</v>
      </c>
      <c r="AU430" s="1102">
        <v>49</v>
      </c>
      <c r="AW430" s="1103">
        <v>46190</v>
      </c>
      <c r="AX430" s="1102" t="s">
        <v>973</v>
      </c>
      <c r="AY430" s="1103">
        <v>46191</v>
      </c>
      <c r="AZ430" s="1102">
        <v>0</v>
      </c>
      <c r="BA430" s="1103">
        <v>46190</v>
      </c>
      <c r="BB430" s="1102">
        <v>2026</v>
      </c>
      <c r="BC430" s="1102">
        <v>6</v>
      </c>
      <c r="BD430" s="1102">
        <v>25</v>
      </c>
      <c r="BE430" s="1102">
        <v>36</v>
      </c>
      <c r="BF430" s="1102">
        <v>936</v>
      </c>
      <c r="BG430" s="1102" t="s">
        <v>85</v>
      </c>
      <c r="BH430" s="1102" t="s">
        <v>109</v>
      </c>
    </row>
    <row r="431" spans="1:60">
      <c r="A431" s="1102" t="s">
        <v>2116</v>
      </c>
      <c r="B431" s="1102" t="s">
        <v>1888</v>
      </c>
      <c r="C431" s="1102" t="s">
        <v>1016</v>
      </c>
      <c r="D431" s="1102" t="s">
        <v>63</v>
      </c>
      <c r="E431" s="1102" t="s">
        <v>144</v>
      </c>
      <c r="F431" s="1102" t="s">
        <v>145</v>
      </c>
      <c r="G431" s="1102" t="s">
        <v>402</v>
      </c>
      <c r="H431" s="1102" t="s">
        <v>538</v>
      </c>
      <c r="I431" s="1102" t="s">
        <v>689</v>
      </c>
      <c r="J431" s="1102" t="s">
        <v>1615</v>
      </c>
      <c r="K431" s="1102" t="s">
        <v>1538</v>
      </c>
      <c r="M431" s="1102" t="s">
        <v>840</v>
      </c>
      <c r="N431" s="1102">
        <v>46069</v>
      </c>
      <c r="O431" s="1102" t="s">
        <v>70</v>
      </c>
      <c r="P431" s="1102" t="s">
        <v>195</v>
      </c>
      <c r="Q431" s="1102" t="s">
        <v>196</v>
      </c>
      <c r="R431" s="1102" t="s">
        <v>73</v>
      </c>
      <c r="S431" s="1102" t="s">
        <v>967</v>
      </c>
      <c r="T431" s="1102">
        <v>450</v>
      </c>
      <c r="U431" s="1102">
        <v>4680</v>
      </c>
      <c r="V431" s="1102">
        <v>2.1059999999999999</v>
      </c>
      <c r="W431" s="1102">
        <v>130</v>
      </c>
      <c r="X431" s="1102">
        <v>5</v>
      </c>
      <c r="Y431" s="1102" t="s">
        <v>951</v>
      </c>
      <c r="Z431" s="1102" t="s">
        <v>75</v>
      </c>
      <c r="AA431" s="1102" t="s">
        <v>1889</v>
      </c>
      <c r="AB431" s="1103">
        <v>46128</v>
      </c>
      <c r="AC431" s="1102">
        <v>16</v>
      </c>
      <c r="AD431" s="1102" t="s">
        <v>2117</v>
      </c>
      <c r="AF431" s="1102" t="s">
        <v>1891</v>
      </c>
      <c r="AG431" s="1102" t="s">
        <v>123</v>
      </c>
      <c r="AH431" s="1102" t="s">
        <v>541</v>
      </c>
      <c r="AI431" s="1103">
        <v>46131</v>
      </c>
      <c r="AJ431" s="1103">
        <v>46141</v>
      </c>
      <c r="AK431" s="1103">
        <v>46141</v>
      </c>
      <c r="AL431" s="1103">
        <v>46192</v>
      </c>
      <c r="AM431" s="1103">
        <v>46188</v>
      </c>
      <c r="AN431" s="1103">
        <v>46190</v>
      </c>
      <c r="AO431" s="1102" t="s">
        <v>402</v>
      </c>
      <c r="AP431" s="1102" t="s">
        <v>2113</v>
      </c>
      <c r="AQ431" s="1102" t="s">
        <v>80</v>
      </c>
      <c r="AR431" s="1102" t="s">
        <v>2114</v>
      </c>
      <c r="AS431" s="1102" t="s">
        <v>2115</v>
      </c>
      <c r="AT431" s="1102" t="s">
        <v>2115</v>
      </c>
      <c r="AU431" s="1102">
        <v>49</v>
      </c>
      <c r="AW431" s="1103">
        <v>46190</v>
      </c>
      <c r="AX431" s="1102" t="s">
        <v>973</v>
      </c>
      <c r="AY431" s="1103">
        <v>46191</v>
      </c>
      <c r="AZ431" s="1102">
        <v>0</v>
      </c>
      <c r="BA431" s="1103">
        <v>46190</v>
      </c>
      <c r="BB431" s="1102">
        <v>2026</v>
      </c>
      <c r="BC431" s="1102">
        <v>6</v>
      </c>
      <c r="BD431" s="1102">
        <v>25</v>
      </c>
      <c r="BE431" s="1102">
        <v>36</v>
      </c>
      <c r="BF431" s="1102">
        <v>936</v>
      </c>
      <c r="BG431" s="1102" t="s">
        <v>85</v>
      </c>
      <c r="BH431" s="1102" t="s">
        <v>109</v>
      </c>
    </row>
    <row r="432" spans="1:60">
      <c r="A432" s="1102" t="s">
        <v>2118</v>
      </c>
      <c r="B432" s="1102" t="s">
        <v>1888</v>
      </c>
      <c r="C432" s="1102" t="s">
        <v>1016</v>
      </c>
      <c r="D432" s="1102" t="s">
        <v>63</v>
      </c>
      <c r="E432" s="1102" t="s">
        <v>64</v>
      </c>
      <c r="F432" s="1102" t="s">
        <v>100</v>
      </c>
      <c r="G432" s="1102" t="s">
        <v>402</v>
      </c>
      <c r="H432" s="1102" t="s">
        <v>67</v>
      </c>
      <c r="I432" s="1102" t="s">
        <v>689</v>
      </c>
      <c r="J432" s="1102" t="s">
        <v>96</v>
      </c>
      <c r="M432" s="1102" t="s">
        <v>840</v>
      </c>
      <c r="N432" s="1102">
        <v>46111</v>
      </c>
      <c r="O432" s="1102" t="s">
        <v>70</v>
      </c>
      <c r="P432" s="1102" t="s">
        <v>195</v>
      </c>
      <c r="Q432" s="1102" t="s">
        <v>196</v>
      </c>
      <c r="R432" s="1102" t="s">
        <v>73</v>
      </c>
      <c r="S432" s="1102" t="s">
        <v>967</v>
      </c>
      <c r="T432" s="1102">
        <v>450</v>
      </c>
      <c r="U432" s="1102">
        <v>1872</v>
      </c>
      <c r="V432" s="1102">
        <v>0.84240000000000004</v>
      </c>
      <c r="W432" s="1102">
        <v>52</v>
      </c>
      <c r="X432" s="1102">
        <v>2</v>
      </c>
      <c r="Y432" s="1102" t="s">
        <v>75</v>
      </c>
      <c r="Z432" s="1102" t="s">
        <v>75</v>
      </c>
      <c r="AA432" s="1102" t="s">
        <v>2038</v>
      </c>
      <c r="AB432" s="1103">
        <v>46125</v>
      </c>
      <c r="AC432" s="1102">
        <v>16</v>
      </c>
      <c r="AD432" s="1102" t="s">
        <v>2119</v>
      </c>
      <c r="AF432" s="1102" t="s">
        <v>1891</v>
      </c>
      <c r="AG432" s="1102" t="s">
        <v>123</v>
      </c>
      <c r="AH432" s="1102" t="s">
        <v>105</v>
      </c>
      <c r="AI432" s="1103">
        <v>46129</v>
      </c>
      <c r="AJ432" s="1103">
        <v>46130</v>
      </c>
      <c r="AK432" s="1103">
        <v>46129</v>
      </c>
      <c r="AL432" s="1103">
        <v>46172</v>
      </c>
      <c r="AM432" s="1103">
        <v>46179</v>
      </c>
      <c r="AN432" s="1103">
        <v>46180</v>
      </c>
      <c r="AO432" s="1102" t="s">
        <v>402</v>
      </c>
      <c r="AP432" s="1102" t="s">
        <v>2120</v>
      </c>
      <c r="AQ432" s="1102" t="s">
        <v>161</v>
      </c>
      <c r="AR432" s="1102" t="s">
        <v>2121</v>
      </c>
      <c r="AS432" s="1102" t="s">
        <v>2122</v>
      </c>
      <c r="AT432" s="1102" t="s">
        <v>2123</v>
      </c>
      <c r="AU432" s="1102">
        <v>51</v>
      </c>
      <c r="AW432" s="1103">
        <v>46180</v>
      </c>
      <c r="AX432" s="1102" t="s">
        <v>973</v>
      </c>
      <c r="AY432" s="1103">
        <v>46194</v>
      </c>
      <c r="AZ432" s="1102">
        <v>7</v>
      </c>
      <c r="BA432" s="1103">
        <v>46187</v>
      </c>
      <c r="BB432" s="1102">
        <v>2026</v>
      </c>
      <c r="BC432" s="1102">
        <v>6</v>
      </c>
      <c r="BD432" s="1102">
        <v>24</v>
      </c>
      <c r="BE432" s="1102">
        <v>36</v>
      </c>
      <c r="BF432" s="1102">
        <v>936</v>
      </c>
      <c r="BG432" s="1102" t="s">
        <v>85</v>
      </c>
      <c r="BH432" s="1102" t="s">
        <v>109</v>
      </c>
    </row>
    <row r="433" spans="1:60">
      <c r="A433" s="1102" t="s">
        <v>2124</v>
      </c>
      <c r="B433" s="1102" t="s">
        <v>1888</v>
      </c>
      <c r="C433" s="1102" t="s">
        <v>1016</v>
      </c>
      <c r="D433" s="1102" t="s">
        <v>63</v>
      </c>
      <c r="E433" s="1102" t="s">
        <v>144</v>
      </c>
      <c r="F433" s="1102" t="s">
        <v>145</v>
      </c>
      <c r="G433" s="1102" t="s">
        <v>402</v>
      </c>
      <c r="H433" s="1102" t="s">
        <v>1449</v>
      </c>
      <c r="I433" s="1102" t="s">
        <v>689</v>
      </c>
      <c r="J433" s="1102" t="s">
        <v>2125</v>
      </c>
      <c r="K433" s="1102" t="s">
        <v>1451</v>
      </c>
      <c r="L433" s="1102">
        <v>1</v>
      </c>
      <c r="M433" s="1102" t="s">
        <v>840</v>
      </c>
      <c r="N433" s="1102">
        <v>46111</v>
      </c>
      <c r="O433" s="1102" t="s">
        <v>70</v>
      </c>
      <c r="P433" s="1102" t="s">
        <v>195</v>
      </c>
      <c r="Q433" s="1102" t="s">
        <v>196</v>
      </c>
      <c r="R433" s="1102" t="s">
        <v>73</v>
      </c>
      <c r="S433" s="1102" t="s">
        <v>967</v>
      </c>
      <c r="T433" s="1102">
        <v>450</v>
      </c>
      <c r="U433" s="1102">
        <v>4680</v>
      </c>
      <c r="V433" s="1102">
        <v>2.1059999999999999</v>
      </c>
      <c r="W433" s="1102">
        <v>130</v>
      </c>
      <c r="X433" s="1102">
        <v>5</v>
      </c>
      <c r="Y433" s="1102" t="s">
        <v>75</v>
      </c>
      <c r="Z433" s="1102" t="s">
        <v>75</v>
      </c>
      <c r="AA433" s="1102" t="s">
        <v>2038</v>
      </c>
      <c r="AB433" s="1103">
        <v>46125</v>
      </c>
      <c r="AC433" s="1102">
        <v>16</v>
      </c>
      <c r="AD433" s="1102" t="s">
        <v>2126</v>
      </c>
      <c r="AF433" s="1102" t="s">
        <v>1891</v>
      </c>
      <c r="AG433" s="1102" t="s">
        <v>123</v>
      </c>
      <c r="AH433" s="1102" t="s">
        <v>105</v>
      </c>
      <c r="AI433" s="1103">
        <v>46129</v>
      </c>
      <c r="AJ433" s="1103">
        <v>46130</v>
      </c>
      <c r="AK433" s="1103">
        <v>46129</v>
      </c>
      <c r="AL433" s="1103">
        <v>46172</v>
      </c>
      <c r="AM433" s="1103">
        <v>46179</v>
      </c>
      <c r="AN433" s="1103">
        <v>46180</v>
      </c>
      <c r="AO433" s="1102" t="s">
        <v>402</v>
      </c>
      <c r="AP433" s="1102" t="s">
        <v>2120</v>
      </c>
      <c r="AQ433" s="1102" t="s">
        <v>161</v>
      </c>
      <c r="AR433" s="1102" t="s">
        <v>2127</v>
      </c>
      <c r="AS433" s="1102" t="s">
        <v>2128</v>
      </c>
      <c r="AT433" s="1102" t="s">
        <v>2123</v>
      </c>
      <c r="AU433" s="1102">
        <v>51</v>
      </c>
      <c r="AW433" s="1103">
        <v>46180</v>
      </c>
      <c r="AX433" s="1102" t="s">
        <v>973</v>
      </c>
      <c r="AY433" s="1103">
        <v>46177</v>
      </c>
      <c r="AZ433" s="1102">
        <v>0</v>
      </c>
      <c r="BA433" s="1103">
        <v>46180</v>
      </c>
      <c r="BB433" s="1102">
        <v>2026</v>
      </c>
      <c r="BC433" s="1102">
        <v>6</v>
      </c>
      <c r="BD433" s="1102">
        <v>23</v>
      </c>
      <c r="BE433" s="1102">
        <v>36</v>
      </c>
      <c r="BF433" s="1102">
        <v>936</v>
      </c>
      <c r="BG433" s="1102" t="s">
        <v>85</v>
      </c>
      <c r="BH433" s="1102" t="s">
        <v>109</v>
      </c>
    </row>
    <row r="434" spans="1:60">
      <c r="A434" s="1102" t="s">
        <v>2129</v>
      </c>
      <c r="B434" s="1102" t="s">
        <v>1888</v>
      </c>
      <c r="C434" s="1102" t="s">
        <v>1016</v>
      </c>
      <c r="D434" s="1102" t="s">
        <v>63</v>
      </c>
      <c r="E434" s="1102" t="s">
        <v>144</v>
      </c>
      <c r="F434" s="1102" t="s">
        <v>145</v>
      </c>
      <c r="G434" s="1102" t="s">
        <v>402</v>
      </c>
      <c r="H434" s="1102" t="s">
        <v>1449</v>
      </c>
      <c r="I434" s="1102" t="s">
        <v>689</v>
      </c>
      <c r="J434" s="1102" t="s">
        <v>2125</v>
      </c>
      <c r="K434" s="1102" t="s">
        <v>1451</v>
      </c>
      <c r="L434" s="1102">
        <v>2</v>
      </c>
      <c r="M434" s="1102" t="s">
        <v>840</v>
      </c>
      <c r="N434" s="1102">
        <v>46111</v>
      </c>
      <c r="O434" s="1102" t="s">
        <v>70</v>
      </c>
      <c r="P434" s="1102" t="s">
        <v>195</v>
      </c>
      <c r="Q434" s="1102" t="s">
        <v>196</v>
      </c>
      <c r="R434" s="1102" t="s">
        <v>73</v>
      </c>
      <c r="S434" s="1102" t="s">
        <v>967</v>
      </c>
      <c r="T434" s="1102">
        <v>450</v>
      </c>
      <c r="U434" s="1102">
        <v>4680</v>
      </c>
      <c r="V434" s="1102">
        <v>2.1059999999999999</v>
      </c>
      <c r="W434" s="1102">
        <v>130</v>
      </c>
      <c r="X434" s="1102">
        <v>5</v>
      </c>
      <c r="Y434" s="1102" t="s">
        <v>75</v>
      </c>
      <c r="Z434" s="1102" t="s">
        <v>75</v>
      </c>
      <c r="AA434" s="1102" t="s">
        <v>2038</v>
      </c>
      <c r="AB434" s="1103">
        <v>46125</v>
      </c>
      <c r="AC434" s="1102">
        <v>16</v>
      </c>
      <c r="AD434" s="1102" t="s">
        <v>2130</v>
      </c>
      <c r="AF434" s="1102" t="s">
        <v>1891</v>
      </c>
      <c r="AG434" s="1102" t="s">
        <v>123</v>
      </c>
      <c r="AH434" s="1102" t="s">
        <v>105</v>
      </c>
      <c r="AI434" s="1103">
        <v>46129</v>
      </c>
      <c r="AJ434" s="1103">
        <v>46130</v>
      </c>
      <c r="AK434" s="1103">
        <v>46129</v>
      </c>
      <c r="AL434" s="1103">
        <v>46172</v>
      </c>
      <c r="AM434" s="1103">
        <v>46179</v>
      </c>
      <c r="AN434" s="1103">
        <v>46180</v>
      </c>
      <c r="AO434" s="1102" t="s">
        <v>402</v>
      </c>
      <c r="AP434" s="1102" t="s">
        <v>2120</v>
      </c>
      <c r="AQ434" s="1102" t="s">
        <v>161</v>
      </c>
      <c r="AR434" s="1102" t="s">
        <v>2127</v>
      </c>
      <c r="AS434" s="1102" t="s">
        <v>2128</v>
      </c>
      <c r="AT434" s="1102" t="s">
        <v>2123</v>
      </c>
      <c r="AU434" s="1102">
        <v>51</v>
      </c>
      <c r="AW434" s="1103">
        <v>46180</v>
      </c>
      <c r="AX434" s="1102" t="s">
        <v>973</v>
      </c>
      <c r="AY434" s="1103">
        <v>46177</v>
      </c>
      <c r="AZ434" s="1102">
        <v>0</v>
      </c>
      <c r="BA434" s="1103">
        <v>46180</v>
      </c>
      <c r="BB434" s="1102">
        <v>2026</v>
      </c>
      <c r="BC434" s="1102">
        <v>6</v>
      </c>
      <c r="BD434" s="1102">
        <v>23</v>
      </c>
      <c r="BE434" s="1102">
        <v>36</v>
      </c>
      <c r="BF434" s="1102">
        <v>936</v>
      </c>
      <c r="BG434" s="1102" t="s">
        <v>85</v>
      </c>
      <c r="BH434" s="1102" t="s">
        <v>109</v>
      </c>
    </row>
    <row r="435" spans="1:60">
      <c r="A435" s="1102" t="s">
        <v>2131</v>
      </c>
      <c r="B435" s="1102" t="s">
        <v>2132</v>
      </c>
      <c r="C435" s="1102" t="s">
        <v>2133</v>
      </c>
      <c r="D435" s="1102" t="s">
        <v>63</v>
      </c>
      <c r="E435" s="1102" t="s">
        <v>64</v>
      </c>
      <c r="F435" s="1102" t="s">
        <v>100</v>
      </c>
      <c r="G435" s="1102" t="s">
        <v>402</v>
      </c>
      <c r="H435" s="1102" t="s">
        <v>67</v>
      </c>
      <c r="J435" s="1102" t="s">
        <v>96</v>
      </c>
      <c r="M435" s="1102" t="s">
        <v>68</v>
      </c>
      <c r="N435" s="1102" t="s">
        <v>68</v>
      </c>
      <c r="O435" s="1102" t="s">
        <v>550</v>
      </c>
      <c r="P435" s="1102" t="s">
        <v>2134</v>
      </c>
      <c r="Q435" s="1102" t="s">
        <v>2135</v>
      </c>
      <c r="R435" s="1102" t="s">
        <v>73</v>
      </c>
      <c r="S435" s="1102" t="s">
        <v>2136</v>
      </c>
      <c r="T435" s="1102">
        <v>515</v>
      </c>
      <c r="U435" s="1102">
        <v>792</v>
      </c>
      <c r="V435" s="1102">
        <v>0.40788000000000002</v>
      </c>
      <c r="W435" s="1102">
        <v>22</v>
      </c>
      <c r="X435" s="1102">
        <v>1</v>
      </c>
      <c r="Y435" s="1102" t="s">
        <v>75</v>
      </c>
      <c r="Z435" s="1102" t="s">
        <v>75</v>
      </c>
      <c r="AB435" s="1103">
        <v>46126</v>
      </c>
      <c r="AC435" s="1102">
        <v>16</v>
      </c>
      <c r="AD435" s="1102" t="s">
        <v>2137</v>
      </c>
      <c r="AF435" s="1102" t="s">
        <v>123</v>
      </c>
      <c r="AG435" s="1102" t="s">
        <v>123</v>
      </c>
      <c r="AH435" s="1102" t="s">
        <v>105</v>
      </c>
      <c r="AI435" s="1103">
        <v>46131</v>
      </c>
      <c r="AJ435" s="1103">
        <v>46130</v>
      </c>
      <c r="AK435" s="1103">
        <v>46130</v>
      </c>
      <c r="AL435" s="1103">
        <v>46172</v>
      </c>
      <c r="AM435" s="1103">
        <v>46175</v>
      </c>
      <c r="AN435" s="1103">
        <v>46175</v>
      </c>
      <c r="AO435" s="1102" t="s">
        <v>402</v>
      </c>
      <c r="AP435" s="1102" t="s">
        <v>2138</v>
      </c>
      <c r="AQ435" s="1102" t="s">
        <v>80</v>
      </c>
      <c r="AR435" s="1102" t="s">
        <v>2139</v>
      </c>
      <c r="AS435" s="1102" t="s">
        <v>2140</v>
      </c>
      <c r="AT435" s="1102" t="s">
        <v>2140</v>
      </c>
      <c r="AU435" s="1102">
        <v>45</v>
      </c>
      <c r="AW435" s="1103">
        <v>46175</v>
      </c>
      <c r="AX435" s="1102" t="s">
        <v>973</v>
      </c>
      <c r="AY435" s="1103">
        <v>46188</v>
      </c>
      <c r="AZ435" s="1102">
        <v>7</v>
      </c>
      <c r="BA435" s="1103">
        <v>46182</v>
      </c>
      <c r="BB435" s="1102">
        <v>2026</v>
      </c>
      <c r="BC435" s="1102">
        <v>6</v>
      </c>
      <c r="BD435" s="1102">
        <v>24</v>
      </c>
      <c r="BE435" s="1102">
        <v>36</v>
      </c>
      <c r="BF435" s="1102">
        <v>792</v>
      </c>
      <c r="BG435" s="1102" t="s">
        <v>85</v>
      </c>
      <c r="BH435" s="1102" t="s">
        <v>109</v>
      </c>
    </row>
    <row r="436" spans="1:60">
      <c r="A436" s="1102" t="s">
        <v>2141</v>
      </c>
      <c r="B436" s="1102" t="s">
        <v>111</v>
      </c>
      <c r="C436" s="1102" t="s">
        <v>1729</v>
      </c>
      <c r="D436" s="1102" t="s">
        <v>63</v>
      </c>
      <c r="E436" s="1102" t="s">
        <v>64</v>
      </c>
      <c r="F436" s="1102" t="s">
        <v>310</v>
      </c>
      <c r="G436" s="1102" t="s">
        <v>402</v>
      </c>
      <c r="H436" s="1102" t="s">
        <v>311</v>
      </c>
      <c r="I436" s="1102" t="s">
        <v>882</v>
      </c>
      <c r="J436" s="1102" t="s">
        <v>96</v>
      </c>
      <c r="M436" s="1102" t="s">
        <v>68</v>
      </c>
      <c r="N436" s="1102">
        <v>46111</v>
      </c>
      <c r="O436" s="1102" t="s">
        <v>170</v>
      </c>
      <c r="P436" s="1102" t="s">
        <v>171</v>
      </c>
      <c r="Q436" s="1102" t="s">
        <v>1731</v>
      </c>
      <c r="R436" s="1102" t="s">
        <v>73</v>
      </c>
      <c r="S436" s="1102" t="s">
        <v>992</v>
      </c>
      <c r="T436" s="1102">
        <v>555</v>
      </c>
      <c r="U436" s="1102">
        <v>3960</v>
      </c>
      <c r="V436" s="1102">
        <v>2.1978</v>
      </c>
      <c r="W436" s="1102">
        <v>120</v>
      </c>
      <c r="X436" s="1102">
        <v>6</v>
      </c>
      <c r="Y436" s="1102" t="s">
        <v>951</v>
      </c>
      <c r="Z436" s="1102" t="s">
        <v>75</v>
      </c>
      <c r="AA436" s="1102" t="s">
        <v>2082</v>
      </c>
      <c r="AB436" s="1103">
        <v>46122</v>
      </c>
      <c r="AC436" s="1102">
        <v>15</v>
      </c>
      <c r="AD436" s="1102" t="s">
        <v>2142</v>
      </c>
      <c r="AF436" s="1102" t="s">
        <v>1999</v>
      </c>
      <c r="AG436" s="1102" t="s">
        <v>123</v>
      </c>
      <c r="AH436" s="1102" t="s">
        <v>314</v>
      </c>
      <c r="AI436" s="1103">
        <v>46129</v>
      </c>
      <c r="AJ436" s="1103">
        <v>46129</v>
      </c>
      <c r="AK436" s="1103">
        <v>46131</v>
      </c>
      <c r="AL436" s="1103">
        <v>46176</v>
      </c>
      <c r="AM436" s="1103">
        <v>46182</v>
      </c>
      <c r="AN436" s="1103">
        <v>46182</v>
      </c>
      <c r="AO436" s="1102" t="s">
        <v>402</v>
      </c>
      <c r="AP436" s="1102" t="s">
        <v>2143</v>
      </c>
      <c r="AQ436" s="1102" t="s">
        <v>80</v>
      </c>
      <c r="AR436" s="1102" t="s">
        <v>2144</v>
      </c>
      <c r="AS436" s="1102" t="s">
        <v>2145</v>
      </c>
      <c r="AT436" s="1102" t="s">
        <v>2145</v>
      </c>
      <c r="AU436" s="1102">
        <v>51</v>
      </c>
      <c r="AW436" s="1103">
        <v>46182</v>
      </c>
      <c r="AX436" s="1102" t="s">
        <v>973</v>
      </c>
      <c r="AY436" s="1103">
        <v>46195</v>
      </c>
      <c r="AZ436" s="1102">
        <v>13</v>
      </c>
      <c r="BA436" s="1103">
        <v>46195</v>
      </c>
      <c r="BB436" s="1102">
        <v>2026</v>
      </c>
      <c r="BC436" s="1102">
        <v>6</v>
      </c>
      <c r="BD436" s="1102">
        <v>26</v>
      </c>
      <c r="BE436" s="1102">
        <v>33</v>
      </c>
      <c r="BF436" s="1102">
        <v>660</v>
      </c>
      <c r="BG436" s="1102" t="s">
        <v>108</v>
      </c>
      <c r="BH436" s="1102" t="s">
        <v>86</v>
      </c>
    </row>
    <row r="437" spans="1:60">
      <c r="A437" s="1102" t="s">
        <v>2146</v>
      </c>
      <c r="B437" s="1102" t="s">
        <v>111</v>
      </c>
      <c r="C437" s="1102" t="s">
        <v>1976</v>
      </c>
      <c r="D437" s="1102" t="s">
        <v>63</v>
      </c>
      <c r="E437" s="1102" t="s">
        <v>64</v>
      </c>
      <c r="F437" s="1102" t="s">
        <v>310</v>
      </c>
      <c r="G437" s="1102" t="s">
        <v>402</v>
      </c>
      <c r="H437" s="1102" t="s">
        <v>311</v>
      </c>
      <c r="I437" s="1102" t="s">
        <v>882</v>
      </c>
      <c r="J437" s="1102" t="s">
        <v>96</v>
      </c>
      <c r="M437" s="1102" t="s">
        <v>68</v>
      </c>
      <c r="N437" s="1102">
        <v>46111</v>
      </c>
      <c r="O437" s="1102" t="s">
        <v>170</v>
      </c>
      <c r="P437" s="1102" t="s">
        <v>1977</v>
      </c>
      <c r="Q437" s="1102" t="s">
        <v>1978</v>
      </c>
      <c r="R437" s="1102" t="s">
        <v>73</v>
      </c>
      <c r="S437" s="1102" t="s">
        <v>992</v>
      </c>
      <c r="T437" s="1102">
        <v>560</v>
      </c>
      <c r="U437" s="1102">
        <v>1320</v>
      </c>
      <c r="V437" s="1102">
        <v>0.73919999999999997</v>
      </c>
      <c r="W437" s="1102">
        <v>40</v>
      </c>
      <c r="X437" s="1102">
        <v>2</v>
      </c>
      <c r="Y437" s="1102" t="s">
        <v>951</v>
      </c>
      <c r="Z437" s="1102" t="s">
        <v>75</v>
      </c>
      <c r="AA437" s="1102" t="s">
        <v>2147</v>
      </c>
      <c r="AB437" s="1103">
        <v>46122</v>
      </c>
      <c r="AC437" s="1102">
        <v>15</v>
      </c>
      <c r="AD437" s="1102" t="s">
        <v>2148</v>
      </c>
      <c r="AF437" s="1102" t="s">
        <v>1999</v>
      </c>
      <c r="AG437" s="1102" t="s">
        <v>123</v>
      </c>
      <c r="AH437" s="1102" t="s">
        <v>314</v>
      </c>
      <c r="AI437" s="1103">
        <v>46129</v>
      </c>
      <c r="AJ437" s="1103">
        <v>46129</v>
      </c>
      <c r="AK437" s="1103">
        <v>46131</v>
      </c>
      <c r="AL437" s="1103">
        <v>46176</v>
      </c>
      <c r="AM437" s="1103">
        <v>46182</v>
      </c>
      <c r="AN437" s="1103">
        <v>46182</v>
      </c>
      <c r="AO437" s="1102" t="s">
        <v>402</v>
      </c>
      <c r="AP437" s="1102" t="s">
        <v>2143</v>
      </c>
      <c r="AQ437" s="1102" t="s">
        <v>80</v>
      </c>
      <c r="AR437" s="1102" t="s">
        <v>2144</v>
      </c>
      <c r="AS437" s="1102" t="s">
        <v>2145</v>
      </c>
      <c r="AT437" s="1102" t="s">
        <v>2145</v>
      </c>
      <c r="AU437" s="1102">
        <v>51</v>
      </c>
      <c r="AW437" s="1103">
        <v>46182</v>
      </c>
      <c r="AX437" s="1102" t="s">
        <v>973</v>
      </c>
      <c r="AY437" s="1103">
        <v>46195</v>
      </c>
      <c r="AZ437" s="1102">
        <v>13</v>
      </c>
      <c r="BA437" s="1103">
        <v>46195</v>
      </c>
      <c r="BB437" s="1102">
        <v>2026</v>
      </c>
      <c r="BC437" s="1102">
        <v>6</v>
      </c>
      <c r="BD437" s="1102">
        <v>26</v>
      </c>
      <c r="BE437" s="1102">
        <v>33</v>
      </c>
      <c r="BF437" s="1102">
        <v>660</v>
      </c>
      <c r="BG437" s="1102" t="s">
        <v>108</v>
      </c>
      <c r="BH437" s="1102" t="s">
        <v>86</v>
      </c>
    </row>
    <row r="438" spans="1:60">
      <c r="A438" s="1102" t="s">
        <v>2149</v>
      </c>
      <c r="B438" s="1102" t="s">
        <v>2132</v>
      </c>
      <c r="C438" s="1102" t="s">
        <v>2150</v>
      </c>
      <c r="D438" s="1102" t="s">
        <v>63</v>
      </c>
      <c r="E438" s="1102" t="s">
        <v>64</v>
      </c>
      <c r="F438" s="1102" t="s">
        <v>65</v>
      </c>
      <c r="G438" s="1102" t="s">
        <v>402</v>
      </c>
      <c r="H438" s="1102" t="s">
        <v>67</v>
      </c>
      <c r="J438" s="1102" t="s">
        <v>96</v>
      </c>
      <c r="M438" s="1102" t="s">
        <v>68</v>
      </c>
      <c r="N438" s="1102" t="s">
        <v>68</v>
      </c>
      <c r="O438" s="1102" t="s">
        <v>550</v>
      </c>
      <c r="P438" s="1102" t="s">
        <v>551</v>
      </c>
      <c r="Q438" s="1102" t="s">
        <v>2151</v>
      </c>
      <c r="R438" s="1102" t="s">
        <v>73</v>
      </c>
      <c r="S438" s="1102" t="s">
        <v>2136</v>
      </c>
      <c r="T438" s="1102">
        <v>510</v>
      </c>
      <c r="U438" s="1102">
        <v>792</v>
      </c>
      <c r="V438" s="1102">
        <v>0.40392</v>
      </c>
      <c r="W438" s="1102">
        <v>22</v>
      </c>
      <c r="X438" s="1102">
        <v>1</v>
      </c>
      <c r="Y438" s="1102" t="s">
        <v>951</v>
      </c>
      <c r="Z438" s="1102" t="s">
        <v>75</v>
      </c>
      <c r="AA438" s="1102" t="s">
        <v>2152</v>
      </c>
      <c r="AB438" s="1103">
        <v>46129</v>
      </c>
      <c r="AC438" s="1102">
        <v>16</v>
      </c>
      <c r="AD438" s="1102" t="s">
        <v>2153</v>
      </c>
      <c r="AF438" s="1102" t="s">
        <v>123</v>
      </c>
      <c r="AG438" s="1102" t="s">
        <v>123</v>
      </c>
      <c r="AH438" s="1102" t="s">
        <v>78</v>
      </c>
      <c r="AI438" s="1103">
        <v>46134</v>
      </c>
      <c r="AJ438" s="1103">
        <v>46136</v>
      </c>
      <c r="AK438" s="1103">
        <v>46138</v>
      </c>
      <c r="AL438" s="1103">
        <v>46175</v>
      </c>
      <c r="AM438" s="1103">
        <v>46188</v>
      </c>
      <c r="AN438" s="1103">
        <v>46191</v>
      </c>
      <c r="AO438" s="1102" t="s">
        <v>402</v>
      </c>
      <c r="AP438" s="1102" t="s">
        <v>2154</v>
      </c>
      <c r="AQ438" s="1102" t="s">
        <v>80</v>
      </c>
      <c r="AR438" s="1102" t="s">
        <v>2155</v>
      </c>
      <c r="AS438" s="1102" t="s">
        <v>2156</v>
      </c>
      <c r="AT438" s="1102" t="s">
        <v>2156</v>
      </c>
      <c r="AU438" s="1102">
        <v>53</v>
      </c>
      <c r="AW438" s="1103">
        <v>46191</v>
      </c>
      <c r="AX438" s="1102" t="s">
        <v>973</v>
      </c>
      <c r="AY438" s="1103">
        <v>46204</v>
      </c>
      <c r="AZ438" s="1102">
        <v>8</v>
      </c>
      <c r="BA438" s="1103">
        <v>46199</v>
      </c>
      <c r="BB438" s="1102">
        <v>2026</v>
      </c>
      <c r="BC438" s="1102">
        <v>6</v>
      </c>
      <c r="BD438" s="1102">
        <v>26</v>
      </c>
      <c r="BE438" s="1102">
        <v>36</v>
      </c>
      <c r="BF438" s="1102">
        <v>792</v>
      </c>
      <c r="BG438" s="1102" t="s">
        <v>85</v>
      </c>
      <c r="BH438" s="1102" t="s">
        <v>86</v>
      </c>
    </row>
    <row r="439" spans="1:60">
      <c r="A439" s="1102" t="s">
        <v>2157</v>
      </c>
      <c r="B439" s="1102" t="s">
        <v>2132</v>
      </c>
      <c r="C439" s="1102" t="s">
        <v>2133</v>
      </c>
      <c r="D439" s="1102" t="s">
        <v>63</v>
      </c>
      <c r="E439" s="1102" t="s">
        <v>64</v>
      </c>
      <c r="F439" s="1102" t="s">
        <v>65</v>
      </c>
      <c r="G439" s="1102" t="s">
        <v>402</v>
      </c>
      <c r="H439" s="1102" t="s">
        <v>67</v>
      </c>
      <c r="J439" s="1102" t="s">
        <v>96</v>
      </c>
      <c r="M439" s="1102" t="s">
        <v>68</v>
      </c>
      <c r="N439" s="1102" t="s">
        <v>68</v>
      </c>
      <c r="O439" s="1102" t="s">
        <v>550</v>
      </c>
      <c r="P439" s="1102" t="s">
        <v>2134</v>
      </c>
      <c r="Q439" s="1102" t="s">
        <v>2135</v>
      </c>
      <c r="R439" s="1102" t="s">
        <v>73</v>
      </c>
      <c r="S439" s="1102" t="s">
        <v>2136</v>
      </c>
      <c r="T439" s="1102">
        <v>515</v>
      </c>
      <c r="U439" s="1102">
        <v>792</v>
      </c>
      <c r="V439" s="1102">
        <v>0.40788000000000002</v>
      </c>
      <c r="W439" s="1102">
        <v>22</v>
      </c>
      <c r="X439" s="1102">
        <v>1</v>
      </c>
      <c r="Y439" s="1102" t="s">
        <v>951</v>
      </c>
      <c r="Z439" s="1102" t="s">
        <v>75</v>
      </c>
      <c r="AA439" s="1102" t="s">
        <v>2152</v>
      </c>
      <c r="AB439" s="1103">
        <v>46128</v>
      </c>
      <c r="AC439" s="1102">
        <v>16</v>
      </c>
      <c r="AD439" s="1102" t="s">
        <v>2158</v>
      </c>
      <c r="AE439" s="1102" t="s">
        <v>2159</v>
      </c>
      <c r="AF439" s="1102" t="s">
        <v>123</v>
      </c>
      <c r="AG439" s="1102" t="s">
        <v>123</v>
      </c>
      <c r="AH439" s="1102" t="s">
        <v>78</v>
      </c>
      <c r="AI439" s="1103">
        <v>46134</v>
      </c>
      <c r="AJ439" s="1103">
        <v>46136</v>
      </c>
      <c r="AK439" s="1103">
        <v>46138</v>
      </c>
      <c r="AL439" s="1103">
        <v>46175</v>
      </c>
      <c r="AM439" s="1103">
        <v>46188</v>
      </c>
      <c r="AN439" s="1103">
        <v>46191</v>
      </c>
      <c r="AO439" s="1102" t="s">
        <v>402</v>
      </c>
      <c r="AP439" s="1102" t="s">
        <v>2154</v>
      </c>
      <c r="AQ439" s="1102" t="s">
        <v>80</v>
      </c>
      <c r="AR439" s="1102" t="s">
        <v>2155</v>
      </c>
      <c r="AS439" s="1102" t="s">
        <v>2156</v>
      </c>
      <c r="AT439" s="1102" t="s">
        <v>2156</v>
      </c>
      <c r="AU439" s="1102">
        <v>53</v>
      </c>
      <c r="AW439" s="1103">
        <v>46191</v>
      </c>
      <c r="AX439" s="1102" t="s">
        <v>973</v>
      </c>
      <c r="AY439" s="1103">
        <v>46204</v>
      </c>
      <c r="AZ439" s="1102">
        <v>8</v>
      </c>
      <c r="BA439" s="1103">
        <v>46199</v>
      </c>
      <c r="BB439" s="1102">
        <v>2026</v>
      </c>
      <c r="BC439" s="1102">
        <v>6</v>
      </c>
      <c r="BD439" s="1102">
        <v>26</v>
      </c>
      <c r="BE439" s="1102">
        <v>36</v>
      </c>
      <c r="BF439" s="1102">
        <v>792</v>
      </c>
      <c r="BG439" s="1102" t="s">
        <v>85</v>
      </c>
      <c r="BH439" s="1102" t="s">
        <v>86</v>
      </c>
    </row>
    <row r="440" spans="1:60">
      <c r="A440" s="1102" t="s">
        <v>2160</v>
      </c>
      <c r="B440" s="1102" t="s">
        <v>61</v>
      </c>
      <c r="C440" s="1102" t="s">
        <v>1940</v>
      </c>
      <c r="D440" s="1102" t="s">
        <v>63</v>
      </c>
      <c r="E440" s="1102" t="s">
        <v>64</v>
      </c>
      <c r="F440" s="1102" t="s">
        <v>65</v>
      </c>
      <c r="G440" s="1102" t="s">
        <v>402</v>
      </c>
      <c r="H440" s="1102" t="s">
        <v>67</v>
      </c>
      <c r="I440" s="1102" t="s">
        <v>1395</v>
      </c>
      <c r="J440" s="1102" t="s">
        <v>96</v>
      </c>
      <c r="M440" s="1102" t="s">
        <v>68</v>
      </c>
      <c r="N440" s="1102">
        <v>46111</v>
      </c>
      <c r="O440" s="1102" t="s">
        <v>70</v>
      </c>
      <c r="P440" s="1102" t="s">
        <v>91</v>
      </c>
      <c r="Q440" s="1102" t="s">
        <v>92</v>
      </c>
      <c r="R440" s="1102" t="s">
        <v>73</v>
      </c>
      <c r="S440" s="1102" t="s">
        <v>967</v>
      </c>
      <c r="T440" s="1102">
        <v>450</v>
      </c>
      <c r="U440" s="1102">
        <v>7488</v>
      </c>
      <c r="V440" s="1102">
        <v>3.3696000000000002</v>
      </c>
      <c r="W440" s="1102">
        <v>208</v>
      </c>
      <c r="X440" s="1102">
        <v>8</v>
      </c>
      <c r="Y440" s="1102" t="s">
        <v>951</v>
      </c>
      <c r="Z440" s="1102" t="s">
        <v>75</v>
      </c>
      <c r="AA440" s="1102" t="s">
        <v>1991</v>
      </c>
      <c r="AB440" s="1103">
        <v>46127</v>
      </c>
      <c r="AC440" s="1102">
        <v>16</v>
      </c>
      <c r="AD440" s="1102" t="s">
        <v>2161</v>
      </c>
      <c r="AF440" s="1102" t="s">
        <v>1935</v>
      </c>
      <c r="AG440" s="1102" t="s">
        <v>61</v>
      </c>
      <c r="AH440" s="1102" t="s">
        <v>356</v>
      </c>
      <c r="AI440" s="1103">
        <v>46131</v>
      </c>
      <c r="AJ440" s="1103">
        <v>46131</v>
      </c>
      <c r="AK440" s="1103">
        <v>46131</v>
      </c>
      <c r="AL440" s="1103">
        <v>46182</v>
      </c>
      <c r="AM440" s="1103">
        <v>46196</v>
      </c>
      <c r="AN440" s="1103">
        <v>46190</v>
      </c>
      <c r="AO440" s="1102" t="s">
        <v>402</v>
      </c>
      <c r="AP440" s="1102" t="s">
        <v>2106</v>
      </c>
      <c r="AQ440" s="1102" t="s">
        <v>161</v>
      </c>
      <c r="AR440" s="1102" t="s">
        <v>2162</v>
      </c>
      <c r="AS440" s="1102" t="s">
        <v>2163</v>
      </c>
      <c r="AT440" s="1102">
        <v>273285266</v>
      </c>
      <c r="AU440" s="1102">
        <v>59</v>
      </c>
      <c r="AW440" s="1103">
        <v>46190</v>
      </c>
      <c r="AX440" s="1102" t="s">
        <v>973</v>
      </c>
      <c r="AY440" s="1103">
        <v>46203</v>
      </c>
      <c r="AZ440" s="1102">
        <v>8</v>
      </c>
      <c r="BA440" s="1103">
        <v>46198</v>
      </c>
      <c r="BB440" s="1102">
        <v>2026</v>
      </c>
      <c r="BC440" s="1102">
        <v>6</v>
      </c>
      <c r="BD440" s="1102">
        <v>26</v>
      </c>
      <c r="BE440" s="1102">
        <v>36</v>
      </c>
      <c r="BF440" s="1102">
        <v>936</v>
      </c>
      <c r="BG440" s="1102" t="s">
        <v>94</v>
      </c>
      <c r="BH440" s="1102" t="s">
        <v>109</v>
      </c>
    </row>
    <row r="441" spans="1:60">
      <c r="A441" s="1102" t="s">
        <v>2164</v>
      </c>
      <c r="B441" s="1102" t="s">
        <v>61</v>
      </c>
      <c r="C441" s="1102" t="s">
        <v>1940</v>
      </c>
      <c r="D441" s="1102" t="s">
        <v>63</v>
      </c>
      <c r="E441" s="1102" t="s">
        <v>64</v>
      </c>
      <c r="F441" s="1102" t="s">
        <v>65</v>
      </c>
      <c r="G441" s="1102" t="s">
        <v>402</v>
      </c>
      <c r="H441" s="1102" t="s">
        <v>67</v>
      </c>
      <c r="I441" s="1102" t="s">
        <v>882</v>
      </c>
      <c r="J441" s="1102" t="s">
        <v>96</v>
      </c>
      <c r="M441" s="1102" t="s">
        <v>68</v>
      </c>
      <c r="N441" s="1102">
        <v>46111</v>
      </c>
      <c r="O441" s="1102" t="s">
        <v>70</v>
      </c>
      <c r="P441" s="1102" t="s">
        <v>91</v>
      </c>
      <c r="Q441" s="1102" t="s">
        <v>92</v>
      </c>
      <c r="R441" s="1102" t="s">
        <v>73</v>
      </c>
      <c r="S441" s="1102" t="s">
        <v>967</v>
      </c>
      <c r="T441" s="1102">
        <v>450</v>
      </c>
      <c r="U441" s="1102">
        <v>1872</v>
      </c>
      <c r="V441" s="1102">
        <v>0.84240000000000004</v>
      </c>
      <c r="W441" s="1102">
        <v>52</v>
      </c>
      <c r="X441" s="1102">
        <v>2</v>
      </c>
      <c r="Y441" s="1102" t="s">
        <v>951</v>
      </c>
      <c r="Z441" s="1102" t="s">
        <v>75</v>
      </c>
      <c r="AA441" s="1102" t="s">
        <v>1991</v>
      </c>
      <c r="AB441" s="1103">
        <v>46127</v>
      </c>
      <c r="AC441" s="1102">
        <v>16</v>
      </c>
      <c r="AD441" s="1102" t="s">
        <v>2165</v>
      </c>
      <c r="AF441" s="1102" t="s">
        <v>1935</v>
      </c>
      <c r="AG441" s="1102" t="s">
        <v>61</v>
      </c>
      <c r="AH441" s="1102" t="s">
        <v>356</v>
      </c>
      <c r="AI441" s="1103">
        <v>46131</v>
      </c>
      <c r="AJ441" s="1103">
        <v>46131</v>
      </c>
      <c r="AK441" s="1103">
        <v>46131</v>
      </c>
      <c r="AL441" s="1103">
        <v>46182</v>
      </c>
      <c r="AM441" s="1103">
        <v>46196</v>
      </c>
      <c r="AN441" s="1103">
        <v>46190</v>
      </c>
      <c r="AO441" s="1102" t="s">
        <v>402</v>
      </c>
      <c r="AP441" s="1102" t="s">
        <v>2106</v>
      </c>
      <c r="AQ441" s="1102" t="s">
        <v>161</v>
      </c>
      <c r="AR441" s="1102" t="s">
        <v>2162</v>
      </c>
      <c r="AS441" s="1102" t="s">
        <v>2163</v>
      </c>
      <c r="AT441" s="1102">
        <v>273285266</v>
      </c>
      <c r="AU441" s="1102">
        <v>59</v>
      </c>
      <c r="AW441" s="1103">
        <v>46190</v>
      </c>
      <c r="AX441" s="1102" t="s">
        <v>973</v>
      </c>
      <c r="AY441" s="1103">
        <v>46203</v>
      </c>
      <c r="AZ441" s="1102">
        <v>8</v>
      </c>
      <c r="BA441" s="1103">
        <v>46198</v>
      </c>
      <c r="BB441" s="1102">
        <v>2026</v>
      </c>
      <c r="BC441" s="1102">
        <v>6</v>
      </c>
      <c r="BD441" s="1102">
        <v>26</v>
      </c>
      <c r="BE441" s="1102">
        <v>36</v>
      </c>
      <c r="BF441" s="1102">
        <v>936</v>
      </c>
      <c r="BG441" s="1102" t="s">
        <v>94</v>
      </c>
      <c r="BH441" s="1102" t="s">
        <v>109</v>
      </c>
    </row>
    <row r="442" spans="1:60">
      <c r="A442" s="1102" t="s">
        <v>2166</v>
      </c>
      <c r="B442" s="1102" t="s">
        <v>61</v>
      </c>
      <c r="C442" s="1102" t="s">
        <v>2087</v>
      </c>
      <c r="D442" s="1102" t="s">
        <v>63</v>
      </c>
      <c r="E442" s="1102" t="s">
        <v>64</v>
      </c>
      <c r="F442" s="1102" t="s">
        <v>65</v>
      </c>
      <c r="G442" s="1102" t="s">
        <v>402</v>
      </c>
      <c r="H442" s="1102" t="s">
        <v>67</v>
      </c>
      <c r="I442" s="1102" t="s">
        <v>869</v>
      </c>
      <c r="J442" s="1102" t="s">
        <v>96</v>
      </c>
      <c r="M442" s="1102" t="s">
        <v>68</v>
      </c>
      <c r="N442" s="1102">
        <v>46111</v>
      </c>
      <c r="O442" s="1102" t="s">
        <v>70</v>
      </c>
      <c r="P442" s="1102" t="s">
        <v>706</v>
      </c>
      <c r="Q442" s="1102" t="s">
        <v>707</v>
      </c>
      <c r="R442" s="1102" t="s">
        <v>73</v>
      </c>
      <c r="S442" s="1102" t="s">
        <v>967</v>
      </c>
      <c r="T442" s="1102">
        <v>500</v>
      </c>
      <c r="U442" s="1102">
        <v>864</v>
      </c>
      <c r="V442" s="1102">
        <v>0.432</v>
      </c>
      <c r="W442" s="1102">
        <v>24</v>
      </c>
      <c r="X442" s="1102">
        <v>1</v>
      </c>
      <c r="Y442" s="1102" t="s">
        <v>951</v>
      </c>
      <c r="Z442" s="1102" t="s">
        <v>75</v>
      </c>
      <c r="AA442" s="1102" t="s">
        <v>2088</v>
      </c>
      <c r="AB442" s="1103">
        <v>46125</v>
      </c>
      <c r="AC442" s="1102">
        <v>16</v>
      </c>
      <c r="AD442" s="1102" t="s">
        <v>2167</v>
      </c>
      <c r="AF442" s="1102" t="s">
        <v>1935</v>
      </c>
      <c r="AG442" s="1102" t="s">
        <v>61</v>
      </c>
      <c r="AH442" s="1102" t="s">
        <v>356</v>
      </c>
      <c r="AI442" s="1103">
        <v>46129</v>
      </c>
      <c r="AJ442" s="1103">
        <v>46129</v>
      </c>
      <c r="AK442" s="1103">
        <v>46128</v>
      </c>
      <c r="AL442" s="1103">
        <v>46182</v>
      </c>
      <c r="AM442" s="1103">
        <v>46183</v>
      </c>
      <c r="AN442" s="1103">
        <v>46182</v>
      </c>
      <c r="AO442" s="1102" t="s">
        <v>402</v>
      </c>
      <c r="AP442" s="1102" t="s">
        <v>2168</v>
      </c>
      <c r="AQ442" s="1102" t="s">
        <v>80</v>
      </c>
      <c r="AR442" s="1102" t="s">
        <v>2169</v>
      </c>
      <c r="AS442" s="1102" t="s">
        <v>2170</v>
      </c>
      <c r="AT442" s="1102" t="s">
        <v>2170</v>
      </c>
      <c r="AU442" s="1102">
        <v>54</v>
      </c>
      <c r="AW442" s="1103">
        <v>46182</v>
      </c>
      <c r="AX442" s="1102" t="s">
        <v>973</v>
      </c>
      <c r="AY442" s="1103">
        <v>46197</v>
      </c>
      <c r="AZ442" s="1102">
        <v>8</v>
      </c>
      <c r="BA442" s="1103">
        <v>46190</v>
      </c>
      <c r="BB442" s="1102">
        <v>2026</v>
      </c>
      <c r="BC442" s="1102">
        <v>6</v>
      </c>
      <c r="BD442" s="1102">
        <v>25</v>
      </c>
      <c r="BE442" s="1102">
        <v>36</v>
      </c>
      <c r="BF442" s="1102">
        <v>864</v>
      </c>
      <c r="BG442" s="1102" t="s">
        <v>85</v>
      </c>
      <c r="BH442" s="1102" t="s">
        <v>109</v>
      </c>
    </row>
    <row r="443" spans="1:60">
      <c r="A443" s="1102" t="s">
        <v>2171</v>
      </c>
      <c r="B443" s="1102" t="s">
        <v>61</v>
      </c>
      <c r="C443" s="1102" t="s">
        <v>2172</v>
      </c>
      <c r="D443" s="1102" t="s">
        <v>63</v>
      </c>
      <c r="E443" s="1102" t="s">
        <v>64</v>
      </c>
      <c r="F443" s="1102" t="s">
        <v>65</v>
      </c>
      <c r="G443" s="1102" t="s">
        <v>402</v>
      </c>
      <c r="H443" s="1102" t="s">
        <v>67</v>
      </c>
      <c r="I443" s="1102" t="s">
        <v>882</v>
      </c>
      <c r="J443" s="1102" t="s">
        <v>96</v>
      </c>
      <c r="M443" s="1102" t="s">
        <v>68</v>
      </c>
      <c r="N443" s="1102">
        <v>46111</v>
      </c>
      <c r="O443" s="1102" t="s">
        <v>70</v>
      </c>
      <c r="P443" s="1102" t="s">
        <v>691</v>
      </c>
      <c r="Q443" s="1102" t="s">
        <v>692</v>
      </c>
      <c r="R443" s="1102" t="s">
        <v>73</v>
      </c>
      <c r="S443" s="1102" t="s">
        <v>967</v>
      </c>
      <c r="T443" s="1102">
        <v>505</v>
      </c>
      <c r="U443" s="1102">
        <v>3456</v>
      </c>
      <c r="V443" s="1102">
        <v>1.7452799999999999</v>
      </c>
      <c r="W443" s="1102">
        <v>96</v>
      </c>
      <c r="X443" s="1102">
        <v>4</v>
      </c>
      <c r="Y443" s="1102" t="s">
        <v>951</v>
      </c>
      <c r="Z443" s="1102" t="s">
        <v>75</v>
      </c>
      <c r="AA443" s="1102" t="s">
        <v>2088</v>
      </c>
      <c r="AB443" s="1103">
        <v>46128</v>
      </c>
      <c r="AC443" s="1102">
        <v>16</v>
      </c>
      <c r="AD443" s="1102" t="s">
        <v>2173</v>
      </c>
      <c r="AF443" s="1102" t="s">
        <v>1935</v>
      </c>
      <c r="AG443" s="1102" t="s">
        <v>61</v>
      </c>
      <c r="AH443" s="1102" t="s">
        <v>78</v>
      </c>
      <c r="AI443" s="1103">
        <v>46133</v>
      </c>
      <c r="AJ443" s="1103">
        <v>46134</v>
      </c>
      <c r="AK443" s="1103">
        <v>46133</v>
      </c>
      <c r="AL443" s="1103">
        <v>46195</v>
      </c>
      <c r="AM443" s="1103">
        <v>46200</v>
      </c>
      <c r="AN443" s="1103">
        <v>46203</v>
      </c>
      <c r="AO443" s="1102" t="s">
        <v>402</v>
      </c>
      <c r="AP443" s="1102" t="s">
        <v>2174</v>
      </c>
      <c r="AQ443" s="1102" t="s">
        <v>80</v>
      </c>
      <c r="AR443" s="1102" t="s">
        <v>2175</v>
      </c>
      <c r="AS443" s="1102" t="s">
        <v>2176</v>
      </c>
      <c r="AT443" s="1102" t="s">
        <v>2176</v>
      </c>
      <c r="AU443" s="1102">
        <v>70</v>
      </c>
      <c r="AW443" s="1103">
        <v>46203</v>
      </c>
      <c r="AX443" s="1102" t="s">
        <v>973</v>
      </c>
      <c r="AY443" s="1103">
        <v>46215</v>
      </c>
      <c r="AZ443" s="1102">
        <v>8</v>
      </c>
      <c r="BA443" s="1103">
        <v>46211</v>
      </c>
      <c r="BB443" s="1102">
        <v>2026</v>
      </c>
      <c r="BC443" s="1102">
        <v>7</v>
      </c>
      <c r="BD443" s="1102">
        <v>28</v>
      </c>
      <c r="BE443" s="1102">
        <v>36</v>
      </c>
      <c r="BF443" s="1102">
        <v>864</v>
      </c>
      <c r="BG443" s="1102" t="s">
        <v>85</v>
      </c>
      <c r="BH443" s="1102" t="s">
        <v>86</v>
      </c>
    </row>
    <row r="444" spans="1:60">
      <c r="A444" s="1102" t="s">
        <v>2177</v>
      </c>
      <c r="B444" s="1102" t="s">
        <v>61</v>
      </c>
      <c r="C444" s="1102" t="s">
        <v>2172</v>
      </c>
      <c r="D444" s="1102" t="s">
        <v>63</v>
      </c>
      <c r="E444" s="1102" t="s">
        <v>64</v>
      </c>
      <c r="F444" s="1102" t="s">
        <v>65</v>
      </c>
      <c r="G444" s="1102" t="s">
        <v>402</v>
      </c>
      <c r="H444" s="1102" t="s">
        <v>67</v>
      </c>
      <c r="I444" s="1102" t="s">
        <v>882</v>
      </c>
      <c r="J444" s="1102" t="s">
        <v>96</v>
      </c>
      <c r="M444" s="1102" t="s">
        <v>68</v>
      </c>
      <c r="N444" s="1102">
        <v>46111</v>
      </c>
      <c r="O444" s="1102" t="s">
        <v>70</v>
      </c>
      <c r="P444" s="1102" t="s">
        <v>691</v>
      </c>
      <c r="Q444" s="1102" t="s">
        <v>692</v>
      </c>
      <c r="R444" s="1102" t="s">
        <v>73</v>
      </c>
      <c r="S444" s="1102" t="s">
        <v>967</v>
      </c>
      <c r="T444" s="1102">
        <v>505</v>
      </c>
      <c r="U444" s="1102">
        <v>1728</v>
      </c>
      <c r="V444" s="1102">
        <v>0.87263999999999997</v>
      </c>
      <c r="W444" s="1102">
        <v>48</v>
      </c>
      <c r="X444" s="1102">
        <v>2</v>
      </c>
      <c r="Y444" s="1102" t="s">
        <v>951</v>
      </c>
      <c r="Z444" s="1102" t="s">
        <v>75</v>
      </c>
      <c r="AA444" s="1102" t="s">
        <v>2088</v>
      </c>
      <c r="AB444" s="1103">
        <v>46125</v>
      </c>
      <c r="AC444" s="1102">
        <v>16</v>
      </c>
      <c r="AD444" s="1102" t="s">
        <v>2178</v>
      </c>
      <c r="AF444" s="1102" t="s">
        <v>1935</v>
      </c>
      <c r="AG444" s="1102" t="s">
        <v>61</v>
      </c>
      <c r="AH444" s="1102" t="s">
        <v>78</v>
      </c>
      <c r="AI444" s="1103">
        <v>46129</v>
      </c>
      <c r="AJ444" s="1103">
        <v>46129</v>
      </c>
      <c r="AK444" s="1103">
        <v>46128</v>
      </c>
      <c r="AL444" s="1103">
        <v>46189</v>
      </c>
      <c r="AM444" s="1103">
        <v>46184</v>
      </c>
      <c r="AN444" s="1103">
        <v>46184</v>
      </c>
      <c r="AO444" s="1102" t="s">
        <v>402</v>
      </c>
      <c r="AP444" s="1102" t="s">
        <v>2179</v>
      </c>
      <c r="AQ444" s="1102" t="s">
        <v>80</v>
      </c>
      <c r="AR444" s="1102" t="s">
        <v>2180</v>
      </c>
      <c r="AS444" s="1102" t="s">
        <v>2181</v>
      </c>
      <c r="AT444" s="1102" t="s">
        <v>2181</v>
      </c>
      <c r="AU444" s="1102">
        <v>56</v>
      </c>
      <c r="AW444" s="1103">
        <v>46184</v>
      </c>
      <c r="AX444" s="1102" t="s">
        <v>973</v>
      </c>
      <c r="AY444" s="1103">
        <v>46196</v>
      </c>
      <c r="AZ444" s="1102">
        <v>8</v>
      </c>
      <c r="BA444" s="1103">
        <v>46192</v>
      </c>
      <c r="BB444" s="1102">
        <v>2026</v>
      </c>
      <c r="BC444" s="1102">
        <v>6</v>
      </c>
      <c r="BD444" s="1102">
        <v>25</v>
      </c>
      <c r="BE444" s="1102">
        <v>36</v>
      </c>
      <c r="BF444" s="1102">
        <v>864</v>
      </c>
      <c r="BG444" s="1102" t="s">
        <v>85</v>
      </c>
      <c r="BH444" s="1102" t="s">
        <v>86</v>
      </c>
    </row>
    <row r="445" spans="1:60">
      <c r="A445" s="1102" t="s">
        <v>2182</v>
      </c>
      <c r="B445" s="1102" t="s">
        <v>2132</v>
      </c>
      <c r="C445" s="1102" t="s">
        <v>2150</v>
      </c>
      <c r="D445" s="1102" t="s">
        <v>63</v>
      </c>
      <c r="E445" s="1102" t="s">
        <v>64</v>
      </c>
      <c r="F445" s="1102" t="s">
        <v>100</v>
      </c>
      <c r="G445" s="1102" t="s">
        <v>402</v>
      </c>
      <c r="H445" s="1102" t="s">
        <v>67</v>
      </c>
      <c r="I445" s="1102" t="s">
        <v>1395</v>
      </c>
      <c r="J445" s="1102" t="s">
        <v>96</v>
      </c>
      <c r="M445" s="1102" t="s">
        <v>68</v>
      </c>
      <c r="N445" s="1102" t="s">
        <v>68</v>
      </c>
      <c r="O445" s="1102" t="s">
        <v>550</v>
      </c>
      <c r="P445" s="1102" t="s">
        <v>551</v>
      </c>
      <c r="Q445" s="1102" t="s">
        <v>2151</v>
      </c>
      <c r="R445" s="1102" t="s">
        <v>73</v>
      </c>
      <c r="S445" s="1102" t="s">
        <v>2136</v>
      </c>
      <c r="T445" s="1102">
        <v>510</v>
      </c>
      <c r="U445" s="1102">
        <v>1584</v>
      </c>
      <c r="V445" s="1102">
        <v>0.80784</v>
      </c>
      <c r="W445" s="1102">
        <v>44</v>
      </c>
      <c r="X445" s="1102">
        <v>2</v>
      </c>
      <c r="Y445" s="1102" t="s">
        <v>75</v>
      </c>
      <c r="Z445" s="1102" t="s">
        <v>75</v>
      </c>
      <c r="AA445" s="1102" t="s">
        <v>2183</v>
      </c>
      <c r="AB445" s="1103">
        <v>46135</v>
      </c>
      <c r="AC445" s="1102">
        <v>17</v>
      </c>
      <c r="AD445" s="1102" t="s">
        <v>2184</v>
      </c>
      <c r="AF445" s="1102" t="s">
        <v>123</v>
      </c>
      <c r="AG445" s="1102" t="s">
        <v>123</v>
      </c>
      <c r="AH445" s="1102" t="s">
        <v>105</v>
      </c>
      <c r="AI445" s="1103">
        <v>46139</v>
      </c>
      <c r="AJ445" s="1103">
        <v>46141</v>
      </c>
      <c r="AK445" s="1103">
        <v>46141</v>
      </c>
      <c r="AL445" s="1103">
        <v>46175</v>
      </c>
      <c r="AM445" s="1103">
        <v>46179</v>
      </c>
      <c r="AN445" s="1103">
        <v>46180</v>
      </c>
      <c r="AO445" s="1102" t="s">
        <v>402</v>
      </c>
      <c r="AP445" s="1102" t="s">
        <v>2174</v>
      </c>
      <c r="AQ445" s="1102" t="s">
        <v>80</v>
      </c>
      <c r="AR445" s="1102" t="s">
        <v>2185</v>
      </c>
      <c r="AS445" s="1102" t="s">
        <v>2186</v>
      </c>
      <c r="AT445" s="1102" t="s">
        <v>2186</v>
      </c>
      <c r="AU445" s="1102">
        <v>39</v>
      </c>
      <c r="AW445" s="1103">
        <v>46180</v>
      </c>
      <c r="AX445" s="1102" t="s">
        <v>973</v>
      </c>
      <c r="AY445" s="1103">
        <v>46191</v>
      </c>
      <c r="AZ445" s="1102">
        <v>7</v>
      </c>
      <c r="BA445" s="1103">
        <v>46187</v>
      </c>
      <c r="BB445" s="1102">
        <v>2026</v>
      </c>
      <c r="BC445" s="1102">
        <v>6</v>
      </c>
      <c r="BD445" s="1102">
        <v>24</v>
      </c>
      <c r="BE445" s="1102">
        <v>36</v>
      </c>
      <c r="BF445" s="1102">
        <v>792</v>
      </c>
      <c r="BG445" s="1102" t="s">
        <v>85</v>
      </c>
      <c r="BH445" s="1102" t="s">
        <v>109</v>
      </c>
    </row>
    <row r="446" spans="1:60">
      <c r="A446" s="1102" t="s">
        <v>2187</v>
      </c>
      <c r="B446" s="1102" t="s">
        <v>2132</v>
      </c>
      <c r="C446" s="1102" t="s">
        <v>2133</v>
      </c>
      <c r="D446" s="1102" t="s">
        <v>63</v>
      </c>
      <c r="E446" s="1102" t="s">
        <v>64</v>
      </c>
      <c r="F446" s="1102" t="s">
        <v>100</v>
      </c>
      <c r="G446" s="1102" t="s">
        <v>402</v>
      </c>
      <c r="H446" s="1102" t="s">
        <v>67</v>
      </c>
      <c r="I446" s="1102" t="s">
        <v>689</v>
      </c>
      <c r="J446" s="1102" t="s">
        <v>96</v>
      </c>
      <c r="M446" s="1102" t="s">
        <v>68</v>
      </c>
      <c r="N446" s="1102" t="s">
        <v>68</v>
      </c>
      <c r="O446" s="1102" t="s">
        <v>550</v>
      </c>
      <c r="P446" s="1102" t="s">
        <v>2134</v>
      </c>
      <c r="Q446" s="1102" t="s">
        <v>2135</v>
      </c>
      <c r="R446" s="1102" t="s">
        <v>73</v>
      </c>
      <c r="S446" s="1102" t="s">
        <v>2136</v>
      </c>
      <c r="T446" s="1102">
        <v>515</v>
      </c>
      <c r="U446" s="1102">
        <v>2376</v>
      </c>
      <c r="V446" s="1102">
        <v>1.2236400000000001</v>
      </c>
      <c r="W446" s="1102">
        <v>66</v>
      </c>
      <c r="X446" s="1102">
        <v>3</v>
      </c>
      <c r="Y446" s="1102" t="s">
        <v>75</v>
      </c>
      <c r="Z446" s="1102" t="s">
        <v>75</v>
      </c>
      <c r="AA446" s="1102" t="s">
        <v>2183</v>
      </c>
      <c r="AB446" s="1103">
        <v>46135</v>
      </c>
      <c r="AC446" s="1102">
        <v>17</v>
      </c>
      <c r="AD446" s="1102" t="s">
        <v>2188</v>
      </c>
      <c r="AF446" s="1102" t="s">
        <v>123</v>
      </c>
      <c r="AG446" s="1102" t="s">
        <v>123</v>
      </c>
      <c r="AH446" s="1102" t="s">
        <v>105</v>
      </c>
      <c r="AI446" s="1103">
        <v>46139</v>
      </c>
      <c r="AJ446" s="1103">
        <v>46141</v>
      </c>
      <c r="AK446" s="1103">
        <v>46141</v>
      </c>
      <c r="AL446" s="1103">
        <v>46175</v>
      </c>
      <c r="AM446" s="1103">
        <v>46179</v>
      </c>
      <c r="AN446" s="1103">
        <v>46180</v>
      </c>
      <c r="AO446" s="1102" t="s">
        <v>402</v>
      </c>
      <c r="AP446" s="1102" t="s">
        <v>2174</v>
      </c>
      <c r="AQ446" s="1102" t="s">
        <v>80</v>
      </c>
      <c r="AR446" s="1102" t="s">
        <v>2185</v>
      </c>
      <c r="AS446" s="1102" t="s">
        <v>2186</v>
      </c>
      <c r="AT446" s="1102" t="s">
        <v>2186</v>
      </c>
      <c r="AU446" s="1102">
        <v>39</v>
      </c>
      <c r="AW446" s="1103">
        <v>46180</v>
      </c>
      <c r="AX446" s="1102" t="s">
        <v>973</v>
      </c>
      <c r="AY446" s="1103">
        <v>46191</v>
      </c>
      <c r="AZ446" s="1102">
        <v>7</v>
      </c>
      <c r="BA446" s="1103">
        <v>46187</v>
      </c>
      <c r="BB446" s="1102">
        <v>2026</v>
      </c>
      <c r="BC446" s="1102">
        <v>6</v>
      </c>
      <c r="BD446" s="1102">
        <v>24</v>
      </c>
      <c r="BE446" s="1102">
        <v>36</v>
      </c>
      <c r="BF446" s="1102">
        <v>792</v>
      </c>
      <c r="BG446" s="1102" t="s">
        <v>85</v>
      </c>
      <c r="BH446" s="1102" t="s">
        <v>109</v>
      </c>
    </row>
    <row r="447" spans="1:60">
      <c r="A447" s="1102" t="s">
        <v>2189</v>
      </c>
      <c r="B447" s="1102" t="s">
        <v>111</v>
      </c>
      <c r="C447" s="1102" t="s">
        <v>2190</v>
      </c>
      <c r="D447" s="1102" t="s">
        <v>63</v>
      </c>
      <c r="E447" s="1102" t="s">
        <v>64</v>
      </c>
      <c r="F447" s="1102" t="s">
        <v>100</v>
      </c>
      <c r="G447" s="1102" t="s">
        <v>402</v>
      </c>
      <c r="H447" s="1102" t="s">
        <v>67</v>
      </c>
      <c r="J447" s="1102" t="s">
        <v>96</v>
      </c>
      <c r="M447" s="1102" t="s">
        <v>68</v>
      </c>
      <c r="N447" s="1102">
        <v>46139</v>
      </c>
      <c r="O447" s="1102" t="s">
        <v>473</v>
      </c>
      <c r="P447" s="1102" t="s">
        <v>474</v>
      </c>
      <c r="Q447" s="1102" t="s">
        <v>1319</v>
      </c>
      <c r="R447" s="1102" t="s">
        <v>73</v>
      </c>
      <c r="S447" s="1102" t="s">
        <v>967</v>
      </c>
      <c r="T447" s="1102">
        <v>460</v>
      </c>
      <c r="U447" s="1102">
        <v>6912</v>
      </c>
      <c r="V447" s="1102">
        <v>3.1795200000000001</v>
      </c>
      <c r="W447" s="1102">
        <v>192</v>
      </c>
      <c r="X447" s="1102">
        <v>8</v>
      </c>
      <c r="Y447" s="1102" t="s">
        <v>951</v>
      </c>
      <c r="Z447" s="1102" t="s">
        <v>75</v>
      </c>
      <c r="AA447" s="1102" t="s">
        <v>2191</v>
      </c>
      <c r="AB447" s="1103">
        <v>46134</v>
      </c>
      <c r="AC447" s="1102">
        <v>17</v>
      </c>
      <c r="AD447" s="1102" t="s">
        <v>2192</v>
      </c>
      <c r="AF447" s="1102" t="s">
        <v>123</v>
      </c>
      <c r="AG447" s="1102" t="s">
        <v>123</v>
      </c>
      <c r="AH447" s="1102" t="s">
        <v>105</v>
      </c>
      <c r="AI447" s="1103">
        <v>46138</v>
      </c>
      <c r="AJ447" s="1103">
        <v>46138</v>
      </c>
      <c r="AK447" s="1103">
        <v>46139</v>
      </c>
      <c r="AL447" s="1103">
        <v>46188</v>
      </c>
      <c r="AM447" s="1103">
        <v>46188</v>
      </c>
      <c r="AN447" s="1103">
        <v>46195</v>
      </c>
      <c r="AQ447" s="1102" t="s">
        <v>80</v>
      </c>
      <c r="AR447" s="1102" t="s">
        <v>2193</v>
      </c>
      <c r="AS447" s="1102" t="s">
        <v>2194</v>
      </c>
      <c r="AT447" s="1102" t="s">
        <v>2194</v>
      </c>
      <c r="AU447" s="1102">
        <v>56</v>
      </c>
      <c r="AW447" s="1103">
        <v>46195</v>
      </c>
      <c r="AX447" s="1102" t="s">
        <v>973</v>
      </c>
      <c r="AY447" s="1103">
        <v>46202</v>
      </c>
      <c r="AZ447" s="1102">
        <v>7</v>
      </c>
      <c r="BA447" s="1103">
        <v>46202</v>
      </c>
      <c r="BB447" s="1102">
        <v>2026</v>
      </c>
      <c r="BC447" s="1102">
        <v>6</v>
      </c>
      <c r="BD447" s="1102">
        <v>27</v>
      </c>
      <c r="BE447" s="1102">
        <v>36</v>
      </c>
      <c r="BF447" s="1102">
        <v>864</v>
      </c>
      <c r="BG447" s="1102" t="s">
        <v>85</v>
      </c>
      <c r="BH447" s="1102" t="s">
        <v>109</v>
      </c>
    </row>
    <row r="448" spans="1:60">
      <c r="A448" s="1102" t="s">
        <v>2195</v>
      </c>
      <c r="B448" s="1102" t="s">
        <v>2132</v>
      </c>
      <c r="C448" s="1102" t="s">
        <v>2133</v>
      </c>
      <c r="D448" s="1102" t="s">
        <v>63</v>
      </c>
      <c r="E448" s="1102" t="s">
        <v>64</v>
      </c>
      <c r="F448" s="1102" t="s">
        <v>450</v>
      </c>
      <c r="G448" s="1102" t="s">
        <v>402</v>
      </c>
      <c r="H448" s="1102" t="s">
        <v>451</v>
      </c>
      <c r="I448" s="1102" t="s">
        <v>689</v>
      </c>
      <c r="J448" s="1102" t="s">
        <v>96</v>
      </c>
      <c r="M448" s="1102" t="s">
        <v>68</v>
      </c>
      <c r="N448" s="1102" t="s">
        <v>68</v>
      </c>
      <c r="O448" s="1102" t="s">
        <v>550</v>
      </c>
      <c r="P448" s="1102" t="s">
        <v>2134</v>
      </c>
      <c r="Q448" s="1102" t="s">
        <v>2135</v>
      </c>
      <c r="R448" s="1102" t="s">
        <v>73</v>
      </c>
      <c r="S448" s="1102" t="s">
        <v>2136</v>
      </c>
      <c r="T448" s="1102">
        <v>515</v>
      </c>
      <c r="U448" s="1102">
        <v>3168</v>
      </c>
      <c r="V448" s="1102">
        <v>1.6315200000000001</v>
      </c>
      <c r="W448" s="1102">
        <v>88</v>
      </c>
      <c r="X448" s="1102">
        <v>4</v>
      </c>
      <c r="Y448" s="1102" t="s">
        <v>951</v>
      </c>
      <c r="Z448" s="1102" t="s">
        <v>75</v>
      </c>
      <c r="AA448" s="1102" t="s">
        <v>2183</v>
      </c>
      <c r="AB448" s="1103">
        <v>46135</v>
      </c>
      <c r="AC448" s="1102">
        <v>17</v>
      </c>
      <c r="AD448" s="1102" t="s">
        <v>2196</v>
      </c>
      <c r="AF448" s="1102" t="s">
        <v>123</v>
      </c>
      <c r="AG448" s="1102" t="s">
        <v>123</v>
      </c>
      <c r="AH448" s="1102" t="s">
        <v>456</v>
      </c>
      <c r="AI448" s="1103">
        <v>46139</v>
      </c>
      <c r="AJ448" s="1103">
        <v>46140</v>
      </c>
      <c r="AK448" s="1103">
        <v>46141</v>
      </c>
      <c r="AL448" s="1103">
        <v>46180</v>
      </c>
      <c r="AM448" s="1103">
        <v>46190</v>
      </c>
      <c r="AN448" s="1103">
        <v>46194</v>
      </c>
      <c r="AO448" s="1102" t="s">
        <v>402</v>
      </c>
      <c r="AP448" s="1102" t="s">
        <v>2197</v>
      </c>
      <c r="AQ448" s="1102" t="s">
        <v>80</v>
      </c>
      <c r="AR448" s="1102" t="s">
        <v>2198</v>
      </c>
      <c r="AS448" s="1102" t="s">
        <v>2199</v>
      </c>
      <c r="AT448" s="1102" t="s">
        <v>2199</v>
      </c>
      <c r="AU448" s="1102">
        <v>53</v>
      </c>
      <c r="AW448" s="1103">
        <v>46194</v>
      </c>
      <c r="AX448" s="1102" t="s">
        <v>973</v>
      </c>
      <c r="AY448" s="1103">
        <v>46204</v>
      </c>
      <c r="AZ448" s="1102">
        <v>7</v>
      </c>
      <c r="BA448" s="1103">
        <v>46201</v>
      </c>
      <c r="BB448" s="1102">
        <v>2026</v>
      </c>
      <c r="BC448" s="1102">
        <v>6</v>
      </c>
      <c r="BD448" s="1102">
        <v>26</v>
      </c>
      <c r="BE448" s="1102">
        <v>36</v>
      </c>
      <c r="BF448" s="1102">
        <v>792</v>
      </c>
      <c r="BG448" s="1102" t="s">
        <v>85</v>
      </c>
      <c r="BH448" s="1102" t="s">
        <v>109</v>
      </c>
    </row>
    <row r="449" spans="1:60">
      <c r="A449" s="1102" t="s">
        <v>2200</v>
      </c>
      <c r="B449" s="1102" t="s">
        <v>2132</v>
      </c>
      <c r="C449" s="1102" t="s">
        <v>2150</v>
      </c>
      <c r="D449" s="1102" t="s">
        <v>63</v>
      </c>
      <c r="E449" s="1102" t="s">
        <v>64</v>
      </c>
      <c r="F449" s="1102" t="s">
        <v>310</v>
      </c>
      <c r="G449" s="1102" t="s">
        <v>402</v>
      </c>
      <c r="H449" s="1102" t="s">
        <v>311</v>
      </c>
      <c r="I449" s="1102" t="s">
        <v>1395</v>
      </c>
      <c r="J449" s="1102" t="s">
        <v>96</v>
      </c>
      <c r="M449" s="1102" t="s">
        <v>68</v>
      </c>
      <c r="N449" s="1102" t="s">
        <v>68</v>
      </c>
      <c r="O449" s="1102" t="s">
        <v>550</v>
      </c>
      <c r="P449" s="1102" t="s">
        <v>551</v>
      </c>
      <c r="Q449" s="1102" t="s">
        <v>2151</v>
      </c>
      <c r="R449" s="1102" t="s">
        <v>73</v>
      </c>
      <c r="S449" s="1102" t="s">
        <v>2136</v>
      </c>
      <c r="T449" s="1102">
        <v>510</v>
      </c>
      <c r="U449" s="1102">
        <v>792</v>
      </c>
      <c r="V449" s="1102">
        <v>0.40392</v>
      </c>
      <c r="W449" s="1102">
        <v>22</v>
      </c>
      <c r="X449" s="1102">
        <v>1</v>
      </c>
      <c r="Y449" s="1102" t="s">
        <v>951</v>
      </c>
      <c r="Z449" s="1102" t="s">
        <v>75</v>
      </c>
      <c r="AA449" s="1102" t="s">
        <v>2201</v>
      </c>
      <c r="AB449" s="1103">
        <v>46131</v>
      </c>
      <c r="AC449" s="1102">
        <v>16</v>
      </c>
      <c r="AD449" s="1102" t="s">
        <v>2202</v>
      </c>
      <c r="AF449" s="1102" t="s">
        <v>123</v>
      </c>
      <c r="AG449" s="1102" t="s">
        <v>123</v>
      </c>
      <c r="AH449" s="1102" t="s">
        <v>314</v>
      </c>
      <c r="AI449" s="1103">
        <v>46136</v>
      </c>
      <c r="AJ449" s="1103">
        <v>46136</v>
      </c>
      <c r="AK449" s="1103">
        <v>46138</v>
      </c>
      <c r="AL449" s="1103">
        <v>46183</v>
      </c>
      <c r="AM449" s="1103">
        <v>46190</v>
      </c>
      <c r="AN449" s="1103">
        <v>46190</v>
      </c>
      <c r="AO449" s="1102" t="s">
        <v>402</v>
      </c>
      <c r="AP449" s="1102" t="s">
        <v>2203</v>
      </c>
      <c r="AQ449" s="1102" t="s">
        <v>80</v>
      </c>
      <c r="AR449" s="1102" t="s">
        <v>2204</v>
      </c>
      <c r="AS449" s="1102" t="s">
        <v>2205</v>
      </c>
      <c r="AT449" s="1102" t="s">
        <v>2205</v>
      </c>
      <c r="AU449" s="1102">
        <v>52</v>
      </c>
      <c r="AW449" s="1103">
        <v>46190</v>
      </c>
      <c r="AX449" s="1102" t="s">
        <v>973</v>
      </c>
      <c r="AY449" s="1103">
        <v>46203</v>
      </c>
      <c r="AZ449" s="1102">
        <v>13</v>
      </c>
      <c r="BA449" s="1103">
        <v>46203</v>
      </c>
      <c r="BB449" s="1102">
        <v>2026</v>
      </c>
      <c r="BC449" s="1102">
        <v>6</v>
      </c>
      <c r="BD449" s="1102">
        <v>27</v>
      </c>
      <c r="BE449" s="1102">
        <v>36</v>
      </c>
      <c r="BF449" s="1102">
        <v>792</v>
      </c>
      <c r="BG449" s="1102" t="s">
        <v>85</v>
      </c>
      <c r="BH449" s="1102" t="s">
        <v>86</v>
      </c>
    </row>
    <row r="450" spans="1:60">
      <c r="A450" s="1102" t="s">
        <v>2206</v>
      </c>
      <c r="B450" s="1102" t="s">
        <v>2132</v>
      </c>
      <c r="C450" s="1102" t="s">
        <v>2133</v>
      </c>
      <c r="D450" s="1102" t="s">
        <v>63</v>
      </c>
      <c r="E450" s="1102" t="s">
        <v>64</v>
      </c>
      <c r="F450" s="1102" t="s">
        <v>310</v>
      </c>
      <c r="G450" s="1102" t="s">
        <v>402</v>
      </c>
      <c r="H450" s="1102" t="s">
        <v>311</v>
      </c>
      <c r="I450" s="1102" t="s">
        <v>1395</v>
      </c>
      <c r="J450" s="1102" t="s">
        <v>96</v>
      </c>
      <c r="M450" s="1102" t="s">
        <v>68</v>
      </c>
      <c r="N450" s="1102" t="s">
        <v>68</v>
      </c>
      <c r="O450" s="1102" t="s">
        <v>550</v>
      </c>
      <c r="P450" s="1102" t="s">
        <v>2134</v>
      </c>
      <c r="Q450" s="1102" t="s">
        <v>2135</v>
      </c>
      <c r="R450" s="1102" t="s">
        <v>73</v>
      </c>
      <c r="S450" s="1102" t="s">
        <v>2136</v>
      </c>
      <c r="T450" s="1102">
        <v>515</v>
      </c>
      <c r="U450" s="1102">
        <v>1584</v>
      </c>
      <c r="V450" s="1102">
        <v>0.81576000000000004</v>
      </c>
      <c r="W450" s="1102">
        <v>44</v>
      </c>
      <c r="X450" s="1102">
        <v>2</v>
      </c>
      <c r="Y450" s="1102" t="s">
        <v>951</v>
      </c>
      <c r="Z450" s="1102" t="s">
        <v>75</v>
      </c>
      <c r="AA450" s="1102" t="s">
        <v>2201</v>
      </c>
      <c r="AB450" s="1103">
        <v>46130</v>
      </c>
      <c r="AC450" s="1102">
        <v>16</v>
      </c>
      <c r="AD450" s="1102" t="s">
        <v>2207</v>
      </c>
      <c r="AF450" s="1102" t="s">
        <v>123</v>
      </c>
      <c r="AG450" s="1102" t="s">
        <v>123</v>
      </c>
      <c r="AH450" s="1102" t="s">
        <v>314</v>
      </c>
      <c r="AI450" s="1103">
        <v>46136</v>
      </c>
      <c r="AJ450" s="1103">
        <v>46136</v>
      </c>
      <c r="AK450" s="1103">
        <v>46138</v>
      </c>
      <c r="AL450" s="1103">
        <v>46183</v>
      </c>
      <c r="AM450" s="1103">
        <v>46190</v>
      </c>
      <c r="AN450" s="1103">
        <v>46190</v>
      </c>
      <c r="AO450" s="1102" t="s">
        <v>402</v>
      </c>
      <c r="AP450" s="1102" t="s">
        <v>2203</v>
      </c>
      <c r="AQ450" s="1102" t="s">
        <v>80</v>
      </c>
      <c r="AR450" s="1102" t="s">
        <v>2204</v>
      </c>
      <c r="AS450" s="1102" t="s">
        <v>2205</v>
      </c>
      <c r="AT450" s="1102" t="s">
        <v>2205</v>
      </c>
      <c r="AU450" s="1102">
        <v>52</v>
      </c>
      <c r="AW450" s="1103">
        <v>46190</v>
      </c>
      <c r="AX450" s="1102" t="s">
        <v>973</v>
      </c>
      <c r="AY450" s="1103">
        <v>46203</v>
      </c>
      <c r="AZ450" s="1102">
        <v>13</v>
      </c>
      <c r="BA450" s="1103">
        <v>46203</v>
      </c>
      <c r="BB450" s="1102">
        <v>2026</v>
      </c>
      <c r="BC450" s="1102">
        <v>6</v>
      </c>
      <c r="BD450" s="1102">
        <v>27</v>
      </c>
      <c r="BE450" s="1102">
        <v>36</v>
      </c>
      <c r="BF450" s="1102">
        <v>792</v>
      </c>
      <c r="BG450" s="1102" t="s">
        <v>85</v>
      </c>
      <c r="BH450" s="1102" t="s">
        <v>86</v>
      </c>
    </row>
    <row r="451" spans="1:60">
      <c r="A451" s="1102" t="s">
        <v>2208</v>
      </c>
      <c r="B451" s="1102" t="s">
        <v>2132</v>
      </c>
      <c r="C451" s="1102" t="s">
        <v>2133</v>
      </c>
      <c r="D451" s="1102" t="s">
        <v>63</v>
      </c>
      <c r="E451" s="1102" t="s">
        <v>64</v>
      </c>
      <c r="F451" s="1102" t="s">
        <v>310</v>
      </c>
      <c r="G451" s="1102" t="s">
        <v>402</v>
      </c>
      <c r="H451" s="1102" t="s">
        <v>311</v>
      </c>
      <c r="I451" s="1102" t="s">
        <v>822</v>
      </c>
      <c r="J451" s="1102" t="s">
        <v>96</v>
      </c>
      <c r="M451" s="1102" t="s">
        <v>68</v>
      </c>
      <c r="N451" s="1102" t="s">
        <v>68</v>
      </c>
      <c r="O451" s="1102" t="s">
        <v>550</v>
      </c>
      <c r="P451" s="1102" t="s">
        <v>2134</v>
      </c>
      <c r="Q451" s="1102" t="s">
        <v>2135</v>
      </c>
      <c r="R451" s="1102" t="s">
        <v>73</v>
      </c>
      <c r="S451" s="1102" t="s">
        <v>2136</v>
      </c>
      <c r="T451" s="1102">
        <v>515</v>
      </c>
      <c r="U451" s="1102">
        <v>3960</v>
      </c>
      <c r="V451" s="1102">
        <v>2.0394000000000001</v>
      </c>
      <c r="W451" s="1102">
        <v>110</v>
      </c>
      <c r="X451" s="1102">
        <v>5</v>
      </c>
      <c r="Y451" s="1102" t="s">
        <v>951</v>
      </c>
      <c r="Z451" s="1102" t="s">
        <v>75</v>
      </c>
      <c r="AA451" s="1102" t="s">
        <v>2209</v>
      </c>
      <c r="AB451" s="1103">
        <v>46130</v>
      </c>
      <c r="AC451" s="1102">
        <v>16</v>
      </c>
      <c r="AD451" s="1102" t="s">
        <v>2210</v>
      </c>
      <c r="AF451" s="1102" t="s">
        <v>123</v>
      </c>
      <c r="AG451" s="1102" t="s">
        <v>123</v>
      </c>
      <c r="AH451" s="1102" t="s">
        <v>314</v>
      </c>
      <c r="AI451" s="1103">
        <v>46136</v>
      </c>
      <c r="AJ451" s="1103">
        <v>46136</v>
      </c>
      <c r="AK451" s="1103">
        <v>46138</v>
      </c>
      <c r="AL451" s="1103">
        <v>46183</v>
      </c>
      <c r="AM451" s="1103">
        <v>46190</v>
      </c>
      <c r="AN451" s="1103">
        <v>46190</v>
      </c>
      <c r="AO451" s="1102" t="s">
        <v>402</v>
      </c>
      <c r="AP451" s="1102" t="s">
        <v>2203</v>
      </c>
      <c r="AQ451" s="1102" t="s">
        <v>80</v>
      </c>
      <c r="AR451" s="1102" t="s">
        <v>2204</v>
      </c>
      <c r="AS451" s="1102" t="s">
        <v>2205</v>
      </c>
      <c r="AT451" s="1102" t="s">
        <v>2205</v>
      </c>
      <c r="AU451" s="1102">
        <v>52</v>
      </c>
      <c r="AW451" s="1103">
        <v>46190</v>
      </c>
      <c r="AX451" s="1102" t="s">
        <v>973</v>
      </c>
      <c r="AY451" s="1103">
        <v>46203</v>
      </c>
      <c r="AZ451" s="1102">
        <v>13</v>
      </c>
      <c r="BA451" s="1103">
        <v>46203</v>
      </c>
      <c r="BB451" s="1102">
        <v>2026</v>
      </c>
      <c r="BC451" s="1102">
        <v>6</v>
      </c>
      <c r="BD451" s="1102">
        <v>27</v>
      </c>
      <c r="BE451" s="1102">
        <v>36</v>
      </c>
      <c r="BF451" s="1102">
        <v>792</v>
      </c>
      <c r="BG451" s="1102" t="s">
        <v>85</v>
      </c>
      <c r="BH451" s="1102" t="s">
        <v>86</v>
      </c>
    </row>
    <row r="452" spans="1:60">
      <c r="A452" s="1102" t="s">
        <v>2211</v>
      </c>
      <c r="B452" s="1102" t="s">
        <v>2132</v>
      </c>
      <c r="C452" s="1102" t="s">
        <v>2133</v>
      </c>
      <c r="D452" s="1102" t="s">
        <v>63</v>
      </c>
      <c r="E452" s="1102" t="s">
        <v>64</v>
      </c>
      <c r="F452" s="1102" t="s">
        <v>65</v>
      </c>
      <c r="G452" s="1102" t="s">
        <v>402</v>
      </c>
      <c r="H452" s="1102" t="s">
        <v>67</v>
      </c>
      <c r="I452" s="1102" t="s">
        <v>689</v>
      </c>
      <c r="J452" s="1102" t="s">
        <v>96</v>
      </c>
      <c r="M452" s="1102" t="s">
        <v>68</v>
      </c>
      <c r="N452" s="1102" t="s">
        <v>68</v>
      </c>
      <c r="O452" s="1102" t="s">
        <v>550</v>
      </c>
      <c r="P452" s="1102" t="s">
        <v>2134</v>
      </c>
      <c r="Q452" s="1102" t="s">
        <v>2135</v>
      </c>
      <c r="R452" s="1102" t="s">
        <v>73</v>
      </c>
      <c r="S452" s="1102" t="s">
        <v>2136</v>
      </c>
      <c r="T452" s="1102">
        <v>515</v>
      </c>
      <c r="U452" s="1102">
        <v>3168</v>
      </c>
      <c r="V452" s="1102">
        <v>1.6315200000000001</v>
      </c>
      <c r="W452" s="1102">
        <v>88</v>
      </c>
      <c r="X452" s="1102">
        <v>4</v>
      </c>
      <c r="Y452" s="1102" t="s">
        <v>951</v>
      </c>
      <c r="Z452" s="1102" t="s">
        <v>75</v>
      </c>
      <c r="AA452" s="1102" t="s">
        <v>2212</v>
      </c>
      <c r="AB452" s="1103">
        <v>46136</v>
      </c>
      <c r="AC452" s="1102">
        <v>17</v>
      </c>
      <c r="AD452" s="1102" t="s">
        <v>2213</v>
      </c>
      <c r="AF452" s="1102" t="s">
        <v>123</v>
      </c>
      <c r="AG452" s="1102" t="s">
        <v>123</v>
      </c>
      <c r="AH452" s="1102" t="s">
        <v>78</v>
      </c>
      <c r="AI452" s="1103">
        <v>46136</v>
      </c>
      <c r="AJ452" s="1103">
        <v>46140</v>
      </c>
      <c r="AK452" s="1103">
        <v>46140</v>
      </c>
      <c r="AL452" s="1103">
        <v>46188</v>
      </c>
      <c r="AM452" s="1103">
        <v>46184</v>
      </c>
      <c r="AN452" s="1103">
        <v>46184</v>
      </c>
      <c r="AO452" s="1102" t="s">
        <v>402</v>
      </c>
      <c r="AP452" s="1102" t="s">
        <v>2203</v>
      </c>
      <c r="AQ452" s="1102" t="s">
        <v>80</v>
      </c>
      <c r="AR452" s="1102" t="s">
        <v>2214</v>
      </c>
      <c r="AS452" s="1102" t="s">
        <v>2215</v>
      </c>
      <c r="AT452" s="1102" t="s">
        <v>2215</v>
      </c>
      <c r="AU452" s="1102">
        <v>44</v>
      </c>
      <c r="AW452" s="1103">
        <v>46184</v>
      </c>
      <c r="AX452" s="1102" t="s">
        <v>973</v>
      </c>
      <c r="AY452" s="1103">
        <v>46198</v>
      </c>
      <c r="AZ452" s="1102">
        <v>8</v>
      </c>
      <c r="BA452" s="1103">
        <v>46192</v>
      </c>
      <c r="BB452" s="1102">
        <v>2026</v>
      </c>
      <c r="BC452" s="1102">
        <v>6</v>
      </c>
      <c r="BD452" s="1102">
        <v>25</v>
      </c>
      <c r="BE452" s="1102">
        <v>36</v>
      </c>
      <c r="BF452" s="1102">
        <v>792</v>
      </c>
      <c r="BG452" s="1102" t="s">
        <v>85</v>
      </c>
      <c r="BH452" s="1102" t="s">
        <v>86</v>
      </c>
    </row>
    <row r="453" spans="1:60">
      <c r="A453" s="1102" t="s">
        <v>2216</v>
      </c>
      <c r="B453" s="1102" t="s">
        <v>2132</v>
      </c>
      <c r="C453" s="1102" t="s">
        <v>2133</v>
      </c>
      <c r="D453" s="1102" t="s">
        <v>63</v>
      </c>
      <c r="E453" s="1102" t="s">
        <v>64</v>
      </c>
      <c r="F453" s="1102" t="s">
        <v>310</v>
      </c>
      <c r="G453" s="1102" t="s">
        <v>402</v>
      </c>
      <c r="H453" s="1102" t="s">
        <v>311</v>
      </c>
      <c r="I453" s="1102" t="s">
        <v>689</v>
      </c>
      <c r="J453" s="1102" t="s">
        <v>96</v>
      </c>
      <c r="M453" s="1102" t="s">
        <v>68</v>
      </c>
      <c r="N453" s="1102" t="s">
        <v>68</v>
      </c>
      <c r="O453" s="1102" t="s">
        <v>550</v>
      </c>
      <c r="P453" s="1102" t="s">
        <v>2134</v>
      </c>
      <c r="Q453" s="1102" t="s">
        <v>2135</v>
      </c>
      <c r="R453" s="1102" t="s">
        <v>73</v>
      </c>
      <c r="S453" s="1102" t="s">
        <v>2136</v>
      </c>
      <c r="T453" s="1102">
        <v>515</v>
      </c>
      <c r="U453" s="1102">
        <v>2376</v>
      </c>
      <c r="V453" s="1102">
        <v>1.2236400000000001</v>
      </c>
      <c r="W453" s="1102">
        <v>66</v>
      </c>
      <c r="X453" s="1102">
        <v>3</v>
      </c>
      <c r="Y453" s="1102" t="s">
        <v>951</v>
      </c>
      <c r="Z453" s="1102" t="s">
        <v>75</v>
      </c>
      <c r="AA453" s="1102" t="s">
        <v>2183</v>
      </c>
      <c r="AB453" s="1103">
        <v>46136</v>
      </c>
      <c r="AC453" s="1102">
        <v>17</v>
      </c>
      <c r="AD453" s="1102" t="s">
        <v>2217</v>
      </c>
      <c r="AF453" s="1102" t="s">
        <v>123</v>
      </c>
      <c r="AG453" s="1102" t="s">
        <v>123</v>
      </c>
      <c r="AH453" s="1102" t="s">
        <v>1561</v>
      </c>
      <c r="AI453" s="1103">
        <v>46140</v>
      </c>
      <c r="AJ453" s="1103">
        <v>46140</v>
      </c>
      <c r="AK453" s="1103">
        <v>46140</v>
      </c>
      <c r="AL453" s="1103">
        <v>46199</v>
      </c>
      <c r="AM453" s="1103">
        <v>46201</v>
      </c>
      <c r="AN453" s="1103">
        <v>46198</v>
      </c>
      <c r="AO453" s="1102" t="s">
        <v>402</v>
      </c>
      <c r="AP453" s="1102" t="s">
        <v>2218</v>
      </c>
      <c r="AQ453" s="1102" t="s">
        <v>80</v>
      </c>
      <c r="AR453" s="1102" t="s">
        <v>2219</v>
      </c>
      <c r="AS453" s="1102" t="s">
        <v>2220</v>
      </c>
      <c r="AT453" s="1102" t="s">
        <v>2220</v>
      </c>
      <c r="AU453" s="1102">
        <v>58</v>
      </c>
      <c r="AW453" s="1103">
        <v>46198</v>
      </c>
      <c r="AX453" s="1102" t="s">
        <v>973</v>
      </c>
      <c r="AY453" s="1103">
        <v>46211</v>
      </c>
      <c r="AZ453" s="1102">
        <v>13</v>
      </c>
      <c r="BA453" s="1103">
        <v>46211</v>
      </c>
      <c r="BB453" s="1102">
        <v>2026</v>
      </c>
      <c r="BC453" s="1102">
        <v>7</v>
      </c>
      <c r="BD453" s="1102">
        <v>28</v>
      </c>
      <c r="BE453" s="1102">
        <v>36</v>
      </c>
      <c r="BF453" s="1102">
        <v>792</v>
      </c>
      <c r="BG453" s="1102" t="s">
        <v>85</v>
      </c>
      <c r="BH453" s="1102" t="s">
        <v>86</v>
      </c>
    </row>
    <row r="454" spans="1:60">
      <c r="A454" s="1102" t="s">
        <v>2221</v>
      </c>
      <c r="B454" s="1102" t="s">
        <v>2132</v>
      </c>
      <c r="C454" s="1102" t="s">
        <v>2133</v>
      </c>
      <c r="D454" s="1102" t="s">
        <v>63</v>
      </c>
      <c r="E454" s="1102" t="s">
        <v>64</v>
      </c>
      <c r="F454" s="1102" t="s">
        <v>114</v>
      </c>
      <c r="G454" s="1102" t="s">
        <v>402</v>
      </c>
      <c r="H454" s="1102" t="s">
        <v>115</v>
      </c>
      <c r="I454" s="1102" t="s">
        <v>689</v>
      </c>
      <c r="J454" s="1102" t="s">
        <v>96</v>
      </c>
      <c r="M454" s="1102" t="s">
        <v>68</v>
      </c>
      <c r="N454" s="1102" t="s">
        <v>68</v>
      </c>
      <c r="O454" s="1102" t="s">
        <v>550</v>
      </c>
      <c r="P454" s="1102" t="s">
        <v>2134</v>
      </c>
      <c r="Q454" s="1102" t="s">
        <v>2135</v>
      </c>
      <c r="R454" s="1102" t="s">
        <v>73</v>
      </c>
      <c r="S454" s="1102" t="s">
        <v>2136</v>
      </c>
      <c r="T454" s="1102">
        <v>515</v>
      </c>
      <c r="U454" s="1102">
        <v>1584</v>
      </c>
      <c r="V454" s="1102">
        <v>0.81576000000000004</v>
      </c>
      <c r="W454" s="1102">
        <v>44</v>
      </c>
      <c r="X454" s="1102">
        <v>2</v>
      </c>
      <c r="Y454" s="1102" t="s">
        <v>75</v>
      </c>
      <c r="Z454" s="1102" t="s">
        <v>75</v>
      </c>
      <c r="AA454" s="1102" t="s">
        <v>2183</v>
      </c>
      <c r="AB454" s="1103">
        <v>46136</v>
      </c>
      <c r="AC454" s="1102">
        <v>17</v>
      </c>
      <c r="AD454" s="1102" t="s">
        <v>2222</v>
      </c>
      <c r="AF454" s="1102" t="s">
        <v>123</v>
      </c>
      <c r="AG454" s="1102" t="s">
        <v>123</v>
      </c>
      <c r="AH454" s="1102" t="s">
        <v>124</v>
      </c>
      <c r="AI454" s="1103">
        <v>46139</v>
      </c>
      <c r="AJ454" s="1103">
        <v>46140</v>
      </c>
      <c r="AK454" s="1103">
        <v>46140</v>
      </c>
      <c r="AL454" s="1103">
        <v>46184</v>
      </c>
      <c r="AM454" s="1103">
        <v>46177</v>
      </c>
      <c r="AN454" s="1103">
        <v>46178</v>
      </c>
      <c r="AO454" s="1102" t="s">
        <v>402</v>
      </c>
      <c r="AP454" s="1102" t="s">
        <v>2179</v>
      </c>
      <c r="AQ454" s="1102" t="s">
        <v>80</v>
      </c>
      <c r="AR454" s="1102" t="s">
        <v>2223</v>
      </c>
      <c r="AS454" s="1102" t="s">
        <v>2224</v>
      </c>
      <c r="AT454" s="1102" t="s">
        <v>2224</v>
      </c>
      <c r="AU454" s="1102">
        <v>38</v>
      </c>
      <c r="AW454" s="1103">
        <v>46178</v>
      </c>
      <c r="AX454" s="1102" t="s">
        <v>973</v>
      </c>
      <c r="AY454" s="1103">
        <v>46190</v>
      </c>
      <c r="AZ454" s="1102">
        <v>9</v>
      </c>
      <c r="BA454" s="1103">
        <v>46187</v>
      </c>
      <c r="BB454" s="1102">
        <v>2026</v>
      </c>
      <c r="BC454" s="1102">
        <v>6</v>
      </c>
      <c r="BD454" s="1102">
        <v>24</v>
      </c>
      <c r="BE454" s="1102">
        <v>36</v>
      </c>
      <c r="BF454" s="1102">
        <v>792</v>
      </c>
      <c r="BG454" s="1102" t="s">
        <v>85</v>
      </c>
      <c r="BH454" s="1102" t="s">
        <v>86</v>
      </c>
    </row>
    <row r="455" spans="1:60">
      <c r="A455" s="1102" t="s">
        <v>2225</v>
      </c>
      <c r="B455" s="1102" t="s">
        <v>61</v>
      </c>
      <c r="C455" s="1102" t="s">
        <v>1940</v>
      </c>
      <c r="D455" s="1102" t="s">
        <v>63</v>
      </c>
      <c r="E455" s="1102" t="s">
        <v>64</v>
      </c>
      <c r="F455" s="1102" t="s">
        <v>65</v>
      </c>
      <c r="G455" s="1102" t="s">
        <v>402</v>
      </c>
      <c r="H455" s="1102" t="s">
        <v>67</v>
      </c>
      <c r="I455" s="1102" t="s">
        <v>1395</v>
      </c>
      <c r="J455" s="1102" t="s">
        <v>96</v>
      </c>
      <c r="M455" s="1102" t="s">
        <v>68</v>
      </c>
      <c r="N455" s="1102">
        <v>46104</v>
      </c>
      <c r="O455" s="1102" t="s">
        <v>70</v>
      </c>
      <c r="P455" s="1102" t="s">
        <v>91</v>
      </c>
      <c r="Q455" s="1102" t="s">
        <v>92</v>
      </c>
      <c r="R455" s="1102" t="s">
        <v>73</v>
      </c>
      <c r="S455" s="1102" t="s">
        <v>967</v>
      </c>
      <c r="T455" s="1102">
        <v>450</v>
      </c>
      <c r="U455" s="1102">
        <v>1872</v>
      </c>
      <c r="V455" s="1102">
        <v>0.84240000000000004</v>
      </c>
      <c r="W455" s="1102">
        <v>52</v>
      </c>
      <c r="X455" s="1102">
        <v>2</v>
      </c>
      <c r="Y455" s="1102" t="s">
        <v>951</v>
      </c>
      <c r="Z455" s="1102" t="s">
        <v>75</v>
      </c>
      <c r="AA455" s="1102" t="s">
        <v>1907</v>
      </c>
      <c r="AB455" s="1103">
        <v>46134</v>
      </c>
      <c r="AC455" s="1102">
        <v>17</v>
      </c>
      <c r="AD455" s="1102" t="s">
        <v>2226</v>
      </c>
      <c r="AF455" s="1102" t="s">
        <v>1935</v>
      </c>
      <c r="AG455" s="1102" t="s">
        <v>61</v>
      </c>
      <c r="AH455" s="1102" t="s">
        <v>78</v>
      </c>
      <c r="AI455" s="1103">
        <v>46138</v>
      </c>
      <c r="AJ455" s="1103">
        <v>46138</v>
      </c>
      <c r="AK455" s="1103">
        <v>46138</v>
      </c>
      <c r="AL455" s="1103">
        <v>46196</v>
      </c>
      <c r="AM455" s="1103">
        <v>46207</v>
      </c>
      <c r="AN455" s="1103">
        <v>46207</v>
      </c>
      <c r="AO455" s="1102" t="s">
        <v>402</v>
      </c>
      <c r="AP455" s="1102" t="s">
        <v>2227</v>
      </c>
      <c r="AQ455" s="1102" t="s">
        <v>80</v>
      </c>
      <c r="AR455" s="1102" t="s">
        <v>2228</v>
      </c>
      <c r="AS455" s="1102" t="s">
        <v>2229</v>
      </c>
      <c r="AT455" s="1102" t="s">
        <v>2229</v>
      </c>
      <c r="AU455" s="1102">
        <v>69</v>
      </c>
      <c r="AW455" s="1103">
        <v>46207</v>
      </c>
      <c r="AX455" s="1102" t="s">
        <v>973</v>
      </c>
      <c r="AY455" s="1103">
        <v>46219</v>
      </c>
      <c r="AZ455" s="1102">
        <v>8</v>
      </c>
      <c r="BA455" s="1103">
        <v>46215</v>
      </c>
      <c r="BB455" s="1102">
        <v>2026</v>
      </c>
      <c r="BC455" s="1102">
        <v>7</v>
      </c>
      <c r="BD455" s="1102">
        <v>28</v>
      </c>
      <c r="BE455" s="1102">
        <v>36</v>
      </c>
      <c r="BF455" s="1102">
        <v>936</v>
      </c>
      <c r="BG455" s="1102" t="s">
        <v>94</v>
      </c>
      <c r="BH455" s="1102" t="s">
        <v>86</v>
      </c>
    </row>
    <row r="456" spans="1:60">
      <c r="A456" s="1102" t="s">
        <v>2230</v>
      </c>
      <c r="B456" s="1102" t="s">
        <v>61</v>
      </c>
      <c r="C456" s="1102" t="s">
        <v>1940</v>
      </c>
      <c r="D456" s="1102" t="s">
        <v>63</v>
      </c>
      <c r="E456" s="1102" t="s">
        <v>64</v>
      </c>
      <c r="F456" s="1102" t="s">
        <v>65</v>
      </c>
      <c r="G456" s="1102" t="s">
        <v>402</v>
      </c>
      <c r="H456" s="1102" t="s">
        <v>67</v>
      </c>
      <c r="I456" s="1102" t="s">
        <v>882</v>
      </c>
      <c r="J456" s="1102" t="s">
        <v>96</v>
      </c>
      <c r="M456" s="1102" t="s">
        <v>68</v>
      </c>
      <c r="N456" s="1102">
        <v>46111</v>
      </c>
      <c r="O456" s="1102" t="s">
        <v>70</v>
      </c>
      <c r="P456" s="1102" t="s">
        <v>91</v>
      </c>
      <c r="Q456" s="1102" t="s">
        <v>92</v>
      </c>
      <c r="R456" s="1102" t="s">
        <v>73</v>
      </c>
      <c r="S456" s="1102" t="s">
        <v>967</v>
      </c>
      <c r="T456" s="1102">
        <v>450</v>
      </c>
      <c r="U456" s="1102">
        <v>3744</v>
      </c>
      <c r="V456" s="1102">
        <v>1.6848000000000001</v>
      </c>
      <c r="W456" s="1102">
        <v>104</v>
      </c>
      <c r="X456" s="1102">
        <v>4</v>
      </c>
      <c r="Y456" s="1102" t="s">
        <v>951</v>
      </c>
      <c r="Z456" s="1102" t="s">
        <v>75</v>
      </c>
      <c r="AA456" s="1102" t="s">
        <v>1991</v>
      </c>
      <c r="AB456" s="1103">
        <v>46128</v>
      </c>
      <c r="AC456" s="1102">
        <v>16</v>
      </c>
      <c r="AD456" s="1102" t="s">
        <v>2231</v>
      </c>
      <c r="AF456" s="1102" t="s">
        <v>1935</v>
      </c>
      <c r="AG456" s="1102" t="s">
        <v>61</v>
      </c>
      <c r="AH456" s="1102" t="s">
        <v>356</v>
      </c>
      <c r="AI456" s="1103">
        <v>46136</v>
      </c>
      <c r="AJ456" s="1103">
        <v>46136</v>
      </c>
      <c r="AK456" s="1103">
        <v>46136</v>
      </c>
      <c r="AL456" s="1103">
        <v>46192</v>
      </c>
      <c r="AM456" s="1103">
        <v>46196</v>
      </c>
      <c r="AN456" s="1103">
        <v>46198</v>
      </c>
      <c r="AO456" s="1102" t="s">
        <v>402</v>
      </c>
      <c r="AP456" s="1102" t="s">
        <v>2232</v>
      </c>
      <c r="AQ456" s="1102" t="s">
        <v>161</v>
      </c>
      <c r="AR456" s="1102" t="s">
        <v>2233</v>
      </c>
      <c r="AS456" s="1102" t="s">
        <v>2234</v>
      </c>
      <c r="AT456" s="1102" t="s">
        <v>2234</v>
      </c>
      <c r="AU456" s="1102">
        <v>62</v>
      </c>
      <c r="AW456" s="1103">
        <v>46198</v>
      </c>
      <c r="AX456" s="1102" t="s">
        <v>973</v>
      </c>
      <c r="AY456" s="1103">
        <v>46208</v>
      </c>
      <c r="AZ456" s="1102">
        <v>8</v>
      </c>
      <c r="BA456" s="1103">
        <v>46206</v>
      </c>
      <c r="BB456" s="1102">
        <v>2026</v>
      </c>
      <c r="BC456" s="1102">
        <v>7</v>
      </c>
      <c r="BD456" s="1102">
        <v>27</v>
      </c>
      <c r="BE456" s="1102">
        <v>36</v>
      </c>
      <c r="BF456" s="1102">
        <v>936</v>
      </c>
      <c r="BG456" s="1102" t="s">
        <v>94</v>
      </c>
      <c r="BH456" s="1102" t="s">
        <v>109</v>
      </c>
    </row>
    <row r="457" spans="1:60">
      <c r="A457" s="1102" t="s">
        <v>2235</v>
      </c>
      <c r="B457" s="1102" t="s">
        <v>61</v>
      </c>
      <c r="C457" s="1102" t="s">
        <v>1940</v>
      </c>
      <c r="D457" s="1102" t="s">
        <v>63</v>
      </c>
      <c r="E457" s="1102" t="s">
        <v>64</v>
      </c>
      <c r="F457" s="1102" t="s">
        <v>65</v>
      </c>
      <c r="G457" s="1102" t="s">
        <v>402</v>
      </c>
      <c r="H457" s="1102" t="s">
        <v>67</v>
      </c>
      <c r="I457" s="1102" t="s">
        <v>882</v>
      </c>
      <c r="J457" s="1102" t="s">
        <v>96</v>
      </c>
      <c r="M457" s="1102" t="s">
        <v>68</v>
      </c>
      <c r="N457" s="1102">
        <v>46111</v>
      </c>
      <c r="O457" s="1102" t="s">
        <v>70</v>
      </c>
      <c r="P457" s="1102" t="s">
        <v>91</v>
      </c>
      <c r="Q457" s="1102" t="s">
        <v>92</v>
      </c>
      <c r="R457" s="1102" t="s">
        <v>73</v>
      </c>
      <c r="S457" s="1102" t="s">
        <v>967</v>
      </c>
      <c r="T457" s="1102">
        <v>450</v>
      </c>
      <c r="U457" s="1102">
        <v>1872</v>
      </c>
      <c r="V457" s="1102">
        <v>0.84240000000000004</v>
      </c>
      <c r="W457" s="1102">
        <v>52</v>
      </c>
      <c r="X457" s="1102">
        <v>2</v>
      </c>
      <c r="Y457" s="1102" t="s">
        <v>951</v>
      </c>
      <c r="Z457" s="1102" t="s">
        <v>75</v>
      </c>
      <c r="AA457" s="1102" t="s">
        <v>1991</v>
      </c>
      <c r="AB457" s="1103">
        <v>46129</v>
      </c>
      <c r="AC457" s="1102">
        <v>16</v>
      </c>
      <c r="AD457" s="1102" t="s">
        <v>2236</v>
      </c>
      <c r="AF457" s="1102" t="s">
        <v>1935</v>
      </c>
      <c r="AG457" s="1102" t="s">
        <v>61</v>
      </c>
      <c r="AH457" s="1102" t="s">
        <v>356</v>
      </c>
      <c r="AI457" s="1103">
        <v>46136</v>
      </c>
      <c r="AJ457" s="1103">
        <v>46136</v>
      </c>
      <c r="AK457" s="1103">
        <v>46136</v>
      </c>
      <c r="AL457" s="1103">
        <v>46192</v>
      </c>
      <c r="AM457" s="1103">
        <v>46196</v>
      </c>
      <c r="AN457" s="1103">
        <v>46198</v>
      </c>
      <c r="AO457" s="1102" t="s">
        <v>402</v>
      </c>
      <c r="AP457" s="1102" t="s">
        <v>2232</v>
      </c>
      <c r="AQ457" s="1102" t="s">
        <v>161</v>
      </c>
      <c r="AR457" s="1102" t="s">
        <v>2233</v>
      </c>
      <c r="AS457" s="1102" t="s">
        <v>2234</v>
      </c>
      <c r="AT457" s="1102" t="s">
        <v>2234</v>
      </c>
      <c r="AU457" s="1102">
        <v>62</v>
      </c>
      <c r="AW457" s="1103">
        <v>46198</v>
      </c>
      <c r="AX457" s="1102" t="s">
        <v>973</v>
      </c>
      <c r="AY457" s="1103">
        <v>46209</v>
      </c>
      <c r="AZ457" s="1102">
        <v>8</v>
      </c>
      <c r="BA457" s="1103">
        <v>46206</v>
      </c>
      <c r="BB457" s="1102">
        <v>2026</v>
      </c>
      <c r="BC457" s="1102">
        <v>7</v>
      </c>
      <c r="BD457" s="1102">
        <v>27</v>
      </c>
      <c r="BE457" s="1102">
        <v>36</v>
      </c>
      <c r="BF457" s="1102">
        <v>936</v>
      </c>
      <c r="BG457" s="1102" t="s">
        <v>94</v>
      </c>
      <c r="BH457" s="1102" t="s">
        <v>109</v>
      </c>
    </row>
    <row r="458" spans="1:60">
      <c r="A458" s="1102" t="s">
        <v>2237</v>
      </c>
      <c r="B458" s="1102" t="s">
        <v>61</v>
      </c>
      <c r="C458" s="1102" t="s">
        <v>1940</v>
      </c>
      <c r="D458" s="1102" t="s">
        <v>63</v>
      </c>
      <c r="E458" s="1102" t="s">
        <v>64</v>
      </c>
      <c r="F458" s="1102" t="s">
        <v>65</v>
      </c>
      <c r="G458" s="1102" t="s">
        <v>402</v>
      </c>
      <c r="H458" s="1102" t="s">
        <v>67</v>
      </c>
      <c r="I458" s="1102" t="s">
        <v>882</v>
      </c>
      <c r="J458" s="1102" t="s">
        <v>96</v>
      </c>
      <c r="M458" s="1102" t="s">
        <v>68</v>
      </c>
      <c r="N458" s="1102">
        <v>46111</v>
      </c>
      <c r="O458" s="1102" t="s">
        <v>70</v>
      </c>
      <c r="P458" s="1102" t="s">
        <v>91</v>
      </c>
      <c r="Q458" s="1102" t="s">
        <v>92</v>
      </c>
      <c r="R458" s="1102" t="s">
        <v>73</v>
      </c>
      <c r="S458" s="1102" t="s">
        <v>967</v>
      </c>
      <c r="T458" s="1102">
        <v>450</v>
      </c>
      <c r="U458" s="1102">
        <v>936</v>
      </c>
      <c r="V458" s="1102">
        <v>0.42120000000000002</v>
      </c>
      <c r="W458" s="1102">
        <v>26</v>
      </c>
      <c r="X458" s="1102">
        <v>1</v>
      </c>
      <c r="Y458" s="1102" t="s">
        <v>951</v>
      </c>
      <c r="Z458" s="1102" t="s">
        <v>75</v>
      </c>
      <c r="AA458" s="1102" t="s">
        <v>1991</v>
      </c>
      <c r="AB458" s="1103">
        <v>46129</v>
      </c>
      <c r="AC458" s="1102">
        <v>16</v>
      </c>
      <c r="AD458" s="1102" t="s">
        <v>2238</v>
      </c>
      <c r="AF458" s="1102" t="s">
        <v>1935</v>
      </c>
      <c r="AG458" s="1102" t="s">
        <v>61</v>
      </c>
      <c r="AH458" s="1102" t="s">
        <v>356</v>
      </c>
      <c r="AI458" s="1103">
        <v>46136</v>
      </c>
      <c r="AJ458" s="1103">
        <v>46136</v>
      </c>
      <c r="AK458" s="1103">
        <v>46136</v>
      </c>
      <c r="AL458" s="1103">
        <v>46192</v>
      </c>
      <c r="AM458" s="1103">
        <v>46196</v>
      </c>
      <c r="AN458" s="1103">
        <v>46198</v>
      </c>
      <c r="AO458" s="1102" t="s">
        <v>402</v>
      </c>
      <c r="AP458" s="1102" t="s">
        <v>2232</v>
      </c>
      <c r="AQ458" s="1102" t="s">
        <v>161</v>
      </c>
      <c r="AR458" s="1102" t="s">
        <v>2233</v>
      </c>
      <c r="AS458" s="1102" t="s">
        <v>2234</v>
      </c>
      <c r="AT458" s="1102" t="s">
        <v>2234</v>
      </c>
      <c r="AU458" s="1102">
        <v>62</v>
      </c>
      <c r="AW458" s="1103">
        <v>46198</v>
      </c>
      <c r="AX458" s="1102" t="s">
        <v>973</v>
      </c>
      <c r="AY458" s="1103">
        <v>46209</v>
      </c>
      <c r="AZ458" s="1102">
        <v>8</v>
      </c>
      <c r="BA458" s="1103">
        <v>46206</v>
      </c>
      <c r="BB458" s="1102">
        <v>2026</v>
      </c>
      <c r="BC458" s="1102">
        <v>7</v>
      </c>
      <c r="BD458" s="1102">
        <v>27</v>
      </c>
      <c r="BE458" s="1102">
        <v>36</v>
      </c>
      <c r="BF458" s="1102">
        <v>936</v>
      </c>
      <c r="BG458" s="1102" t="s">
        <v>94</v>
      </c>
      <c r="BH458" s="1102" t="s">
        <v>109</v>
      </c>
    </row>
    <row r="459" spans="1:60">
      <c r="A459" s="1102" t="s">
        <v>2239</v>
      </c>
      <c r="B459" s="1102" t="s">
        <v>61</v>
      </c>
      <c r="C459" s="1102" t="s">
        <v>1940</v>
      </c>
      <c r="D459" s="1102" t="s">
        <v>63</v>
      </c>
      <c r="E459" s="1102" t="s">
        <v>64</v>
      </c>
      <c r="F459" s="1102" t="s">
        <v>65</v>
      </c>
      <c r="G459" s="1102" t="s">
        <v>402</v>
      </c>
      <c r="H459" s="1102" t="s">
        <v>67</v>
      </c>
      <c r="I459" s="1102" t="s">
        <v>882</v>
      </c>
      <c r="J459" s="1102" t="s">
        <v>96</v>
      </c>
      <c r="M459" s="1102" t="s">
        <v>68</v>
      </c>
      <c r="N459" s="1102">
        <v>46111</v>
      </c>
      <c r="O459" s="1102" t="s">
        <v>70</v>
      </c>
      <c r="P459" s="1102" t="s">
        <v>91</v>
      </c>
      <c r="Q459" s="1102" t="s">
        <v>92</v>
      </c>
      <c r="R459" s="1102" t="s">
        <v>73</v>
      </c>
      <c r="S459" s="1102" t="s">
        <v>967</v>
      </c>
      <c r="T459" s="1102">
        <v>450</v>
      </c>
      <c r="U459" s="1102">
        <v>936</v>
      </c>
      <c r="V459" s="1102">
        <v>0.42120000000000002</v>
      </c>
      <c r="W459" s="1102">
        <v>26</v>
      </c>
      <c r="X459" s="1102">
        <v>1</v>
      </c>
      <c r="Y459" s="1102" t="s">
        <v>951</v>
      </c>
      <c r="Z459" s="1102" t="s">
        <v>75</v>
      </c>
      <c r="AA459" s="1102" t="s">
        <v>1991</v>
      </c>
      <c r="AB459" s="1103">
        <v>46129</v>
      </c>
      <c r="AC459" s="1102">
        <v>16</v>
      </c>
      <c r="AD459" s="1102" t="s">
        <v>2240</v>
      </c>
      <c r="AF459" s="1102" t="s">
        <v>1935</v>
      </c>
      <c r="AG459" s="1102" t="s">
        <v>61</v>
      </c>
      <c r="AH459" s="1102" t="s">
        <v>356</v>
      </c>
      <c r="AI459" s="1103">
        <v>46136</v>
      </c>
      <c r="AJ459" s="1103">
        <v>46136</v>
      </c>
      <c r="AK459" s="1103">
        <v>46136</v>
      </c>
      <c r="AL459" s="1103">
        <v>46192</v>
      </c>
      <c r="AM459" s="1103">
        <v>46196</v>
      </c>
      <c r="AN459" s="1103">
        <v>46198</v>
      </c>
      <c r="AO459" s="1102" t="s">
        <v>402</v>
      </c>
      <c r="AP459" s="1102" t="s">
        <v>2232</v>
      </c>
      <c r="AQ459" s="1102" t="s">
        <v>161</v>
      </c>
      <c r="AR459" s="1102" t="s">
        <v>2233</v>
      </c>
      <c r="AS459" s="1102" t="s">
        <v>2234</v>
      </c>
      <c r="AT459" s="1102" t="s">
        <v>2234</v>
      </c>
      <c r="AU459" s="1102">
        <v>62</v>
      </c>
      <c r="AW459" s="1103">
        <v>46198</v>
      </c>
      <c r="AX459" s="1102" t="s">
        <v>973</v>
      </c>
      <c r="AY459" s="1103">
        <v>46209</v>
      </c>
      <c r="AZ459" s="1102">
        <v>8</v>
      </c>
      <c r="BA459" s="1103">
        <v>46206</v>
      </c>
      <c r="BB459" s="1102">
        <v>2026</v>
      </c>
      <c r="BC459" s="1102">
        <v>7</v>
      </c>
      <c r="BD459" s="1102">
        <v>27</v>
      </c>
      <c r="BE459" s="1102">
        <v>36</v>
      </c>
      <c r="BF459" s="1102">
        <v>936</v>
      </c>
      <c r="BG459" s="1102" t="s">
        <v>94</v>
      </c>
      <c r="BH459" s="1102" t="s">
        <v>109</v>
      </c>
    </row>
    <row r="460" spans="1:60">
      <c r="A460" s="1102" t="s">
        <v>2241</v>
      </c>
      <c r="B460" s="1102" t="s">
        <v>61</v>
      </c>
      <c r="C460" s="1102" t="s">
        <v>1940</v>
      </c>
      <c r="D460" s="1102" t="s">
        <v>63</v>
      </c>
      <c r="E460" s="1102" t="s">
        <v>64</v>
      </c>
      <c r="F460" s="1102" t="s">
        <v>65</v>
      </c>
      <c r="G460" s="1102" t="s">
        <v>402</v>
      </c>
      <c r="H460" s="1102" t="s">
        <v>67</v>
      </c>
      <c r="I460" s="1102" t="s">
        <v>882</v>
      </c>
      <c r="J460" s="1102" t="s">
        <v>96</v>
      </c>
      <c r="M460" s="1102" t="s">
        <v>68</v>
      </c>
      <c r="N460" s="1102">
        <v>46111</v>
      </c>
      <c r="O460" s="1102" t="s">
        <v>70</v>
      </c>
      <c r="P460" s="1102" t="s">
        <v>91</v>
      </c>
      <c r="Q460" s="1102" t="s">
        <v>92</v>
      </c>
      <c r="R460" s="1102" t="s">
        <v>73</v>
      </c>
      <c r="S460" s="1102" t="s">
        <v>967</v>
      </c>
      <c r="T460" s="1102">
        <v>450</v>
      </c>
      <c r="U460" s="1102">
        <v>936</v>
      </c>
      <c r="V460" s="1102">
        <v>0.42120000000000002</v>
      </c>
      <c r="W460" s="1102">
        <v>26</v>
      </c>
      <c r="X460" s="1102">
        <v>1</v>
      </c>
      <c r="Y460" s="1102" t="s">
        <v>951</v>
      </c>
      <c r="Z460" s="1102" t="s">
        <v>75</v>
      </c>
      <c r="AA460" s="1102" t="s">
        <v>1991</v>
      </c>
      <c r="AB460" s="1103">
        <v>46129</v>
      </c>
      <c r="AC460" s="1102">
        <v>16</v>
      </c>
      <c r="AD460" s="1102" t="s">
        <v>2242</v>
      </c>
      <c r="AF460" s="1102" t="s">
        <v>1935</v>
      </c>
      <c r="AG460" s="1102" t="s">
        <v>61</v>
      </c>
      <c r="AH460" s="1102" t="s">
        <v>356</v>
      </c>
      <c r="AI460" s="1103">
        <v>46136</v>
      </c>
      <c r="AJ460" s="1103">
        <v>46136</v>
      </c>
      <c r="AK460" s="1103">
        <v>46136</v>
      </c>
      <c r="AL460" s="1103">
        <v>46192</v>
      </c>
      <c r="AM460" s="1103">
        <v>46196</v>
      </c>
      <c r="AN460" s="1103">
        <v>46198</v>
      </c>
      <c r="AO460" s="1102" t="s">
        <v>402</v>
      </c>
      <c r="AP460" s="1102" t="s">
        <v>2232</v>
      </c>
      <c r="AQ460" s="1102" t="s">
        <v>161</v>
      </c>
      <c r="AR460" s="1102" t="s">
        <v>2233</v>
      </c>
      <c r="AS460" s="1102" t="s">
        <v>2234</v>
      </c>
      <c r="AT460" s="1102" t="s">
        <v>2234</v>
      </c>
      <c r="AU460" s="1102">
        <v>62</v>
      </c>
      <c r="AW460" s="1103">
        <v>46198</v>
      </c>
      <c r="AX460" s="1102" t="s">
        <v>973</v>
      </c>
      <c r="AY460" s="1103">
        <v>46209</v>
      </c>
      <c r="AZ460" s="1102">
        <v>8</v>
      </c>
      <c r="BA460" s="1103">
        <v>46206</v>
      </c>
      <c r="BB460" s="1102">
        <v>2026</v>
      </c>
      <c r="BC460" s="1102">
        <v>7</v>
      </c>
      <c r="BD460" s="1102">
        <v>27</v>
      </c>
      <c r="BE460" s="1102">
        <v>36</v>
      </c>
      <c r="BF460" s="1102">
        <v>936</v>
      </c>
      <c r="BG460" s="1102" t="s">
        <v>94</v>
      </c>
      <c r="BH460" s="1102" t="s">
        <v>109</v>
      </c>
    </row>
    <row r="461" spans="1:60">
      <c r="A461" s="1102" t="s">
        <v>2243</v>
      </c>
      <c r="B461" s="1102" t="s">
        <v>61</v>
      </c>
      <c r="C461" s="1102" t="s">
        <v>1940</v>
      </c>
      <c r="D461" s="1102" t="s">
        <v>63</v>
      </c>
      <c r="E461" s="1102" t="s">
        <v>64</v>
      </c>
      <c r="F461" s="1102" t="s">
        <v>65</v>
      </c>
      <c r="G461" s="1102" t="s">
        <v>402</v>
      </c>
      <c r="H461" s="1102" t="s">
        <v>67</v>
      </c>
      <c r="I461" s="1102" t="s">
        <v>882</v>
      </c>
      <c r="J461" s="1102" t="s">
        <v>96</v>
      </c>
      <c r="M461" s="1102" t="s">
        <v>68</v>
      </c>
      <c r="N461" s="1102">
        <v>46111</v>
      </c>
      <c r="O461" s="1102" t="s">
        <v>70</v>
      </c>
      <c r="P461" s="1102" t="s">
        <v>91</v>
      </c>
      <c r="Q461" s="1102" t="s">
        <v>92</v>
      </c>
      <c r="R461" s="1102" t="s">
        <v>73</v>
      </c>
      <c r="S461" s="1102" t="s">
        <v>967</v>
      </c>
      <c r="T461" s="1102">
        <v>450</v>
      </c>
      <c r="U461" s="1102">
        <v>2808</v>
      </c>
      <c r="V461" s="1102">
        <v>1.2636000000000001</v>
      </c>
      <c r="W461" s="1102">
        <v>78</v>
      </c>
      <c r="X461" s="1102">
        <v>3</v>
      </c>
      <c r="Y461" s="1102" t="s">
        <v>951</v>
      </c>
      <c r="Z461" s="1102" t="s">
        <v>75</v>
      </c>
      <c r="AA461" s="1102" t="s">
        <v>1991</v>
      </c>
      <c r="AB461" s="1103">
        <v>46129</v>
      </c>
      <c r="AC461" s="1102">
        <v>16</v>
      </c>
      <c r="AD461" s="1102" t="s">
        <v>2244</v>
      </c>
      <c r="AF461" s="1102" t="s">
        <v>1935</v>
      </c>
      <c r="AG461" s="1102" t="s">
        <v>61</v>
      </c>
      <c r="AH461" s="1102" t="s">
        <v>356</v>
      </c>
      <c r="AI461" s="1103">
        <v>46136</v>
      </c>
      <c r="AJ461" s="1103">
        <v>46136</v>
      </c>
      <c r="AK461" s="1103">
        <v>46136</v>
      </c>
      <c r="AL461" s="1103">
        <v>46192</v>
      </c>
      <c r="AM461" s="1103">
        <v>46196</v>
      </c>
      <c r="AN461" s="1103">
        <v>46198</v>
      </c>
      <c r="AO461" s="1102" t="s">
        <v>402</v>
      </c>
      <c r="AP461" s="1102" t="s">
        <v>2232</v>
      </c>
      <c r="AQ461" s="1102" t="s">
        <v>161</v>
      </c>
      <c r="AR461" s="1102" t="s">
        <v>2233</v>
      </c>
      <c r="AS461" s="1102" t="s">
        <v>2234</v>
      </c>
      <c r="AT461" s="1102" t="s">
        <v>2234</v>
      </c>
      <c r="AU461" s="1102">
        <v>62</v>
      </c>
      <c r="AW461" s="1103">
        <v>46198</v>
      </c>
      <c r="AX461" s="1102" t="s">
        <v>973</v>
      </c>
      <c r="AY461" s="1103">
        <v>46209</v>
      </c>
      <c r="AZ461" s="1102">
        <v>8</v>
      </c>
      <c r="BA461" s="1103">
        <v>46206</v>
      </c>
      <c r="BB461" s="1102">
        <v>2026</v>
      </c>
      <c r="BC461" s="1102">
        <v>7</v>
      </c>
      <c r="BD461" s="1102">
        <v>27</v>
      </c>
      <c r="BE461" s="1102">
        <v>36</v>
      </c>
      <c r="BF461" s="1102">
        <v>936</v>
      </c>
      <c r="BG461" s="1102" t="s">
        <v>94</v>
      </c>
      <c r="BH461" s="1102" t="s">
        <v>109</v>
      </c>
    </row>
    <row r="462" spans="1:60">
      <c r="A462" s="1102" t="s">
        <v>2245</v>
      </c>
      <c r="B462" s="1102" t="s">
        <v>1888</v>
      </c>
      <c r="C462" s="1102" t="s">
        <v>1016</v>
      </c>
      <c r="D462" s="1102" t="s">
        <v>63</v>
      </c>
      <c r="E462" s="1102" t="s">
        <v>64</v>
      </c>
      <c r="F462" s="1102" t="s">
        <v>450</v>
      </c>
      <c r="G462" s="1102" t="s">
        <v>402</v>
      </c>
      <c r="H462" s="1102" t="s">
        <v>451</v>
      </c>
      <c r="I462" s="1102" t="s">
        <v>689</v>
      </c>
      <c r="J462" s="1102" t="s">
        <v>96</v>
      </c>
      <c r="M462" s="1102" t="s">
        <v>68</v>
      </c>
      <c r="N462" s="1102">
        <v>46111</v>
      </c>
      <c r="O462" s="1102" t="s">
        <v>70</v>
      </c>
      <c r="P462" s="1102" t="s">
        <v>195</v>
      </c>
      <c r="Q462" s="1102" t="s">
        <v>196</v>
      </c>
      <c r="R462" s="1102" t="s">
        <v>73</v>
      </c>
      <c r="S462" s="1102" t="s">
        <v>967</v>
      </c>
      <c r="T462" s="1102">
        <v>450</v>
      </c>
      <c r="U462" s="1102">
        <v>1872</v>
      </c>
      <c r="V462" s="1102">
        <v>0.84240000000000004</v>
      </c>
      <c r="W462" s="1102">
        <v>52</v>
      </c>
      <c r="X462" s="1102">
        <v>2</v>
      </c>
      <c r="Y462" s="1102" t="s">
        <v>951</v>
      </c>
      <c r="Z462" s="1102" t="s">
        <v>75</v>
      </c>
      <c r="AA462" s="1102" t="s">
        <v>2038</v>
      </c>
      <c r="AB462" s="1103">
        <v>46130</v>
      </c>
      <c r="AC462" s="1102">
        <v>16</v>
      </c>
      <c r="AD462" s="1102" t="s">
        <v>2246</v>
      </c>
      <c r="AF462" s="1102" t="s">
        <v>1891</v>
      </c>
      <c r="AG462" s="1102" t="s">
        <v>123</v>
      </c>
      <c r="AH462" s="1102" t="s">
        <v>456</v>
      </c>
      <c r="AI462" s="1103">
        <v>46132</v>
      </c>
      <c r="AJ462" s="1103">
        <v>46133</v>
      </c>
      <c r="AK462" s="1103">
        <v>46134</v>
      </c>
      <c r="AL462" s="1103">
        <v>46183</v>
      </c>
      <c r="AM462" s="1103">
        <v>46189</v>
      </c>
      <c r="AN462" s="1103">
        <v>46191</v>
      </c>
      <c r="AO462" s="1102" t="s">
        <v>402</v>
      </c>
      <c r="AP462" s="1102" t="s">
        <v>2247</v>
      </c>
      <c r="AQ462" s="1102" t="s">
        <v>161</v>
      </c>
      <c r="AR462" s="1102" t="s">
        <v>2248</v>
      </c>
      <c r="AS462" s="1102" t="s">
        <v>2249</v>
      </c>
      <c r="AT462" s="1102" t="s">
        <v>2250</v>
      </c>
      <c r="AU462" s="1102">
        <v>57</v>
      </c>
      <c r="AW462" s="1103">
        <v>46191</v>
      </c>
      <c r="AX462" s="1102" t="s">
        <v>973</v>
      </c>
      <c r="AY462" s="1103">
        <v>46203</v>
      </c>
      <c r="AZ462" s="1102">
        <v>7</v>
      </c>
      <c r="BA462" s="1103">
        <v>46198</v>
      </c>
      <c r="BB462" s="1102">
        <v>2026</v>
      </c>
      <c r="BC462" s="1102">
        <v>6</v>
      </c>
      <c r="BD462" s="1102">
        <v>26</v>
      </c>
      <c r="BE462" s="1102">
        <v>36</v>
      </c>
      <c r="BF462" s="1102">
        <v>936</v>
      </c>
      <c r="BG462" s="1102" t="s">
        <v>85</v>
      </c>
      <c r="BH462" s="1102" t="s">
        <v>109</v>
      </c>
    </row>
    <row r="463" spans="1:60">
      <c r="A463" s="1102" t="s">
        <v>2251</v>
      </c>
      <c r="B463" s="1102" t="s">
        <v>1888</v>
      </c>
      <c r="C463" s="1102" t="s">
        <v>1016</v>
      </c>
      <c r="D463" s="1102" t="s">
        <v>63</v>
      </c>
      <c r="E463" s="1102" t="s">
        <v>144</v>
      </c>
      <c r="F463" s="1102" t="s">
        <v>145</v>
      </c>
      <c r="G463" s="1102" t="s">
        <v>402</v>
      </c>
      <c r="H463" s="1102" t="s">
        <v>1080</v>
      </c>
      <c r="I463" s="1102" t="s">
        <v>689</v>
      </c>
      <c r="J463" s="1102" t="s">
        <v>2252</v>
      </c>
      <c r="K463" s="1102" t="s">
        <v>2253</v>
      </c>
      <c r="L463" s="1102">
        <v>1</v>
      </c>
      <c r="M463" s="1102" t="s">
        <v>840</v>
      </c>
      <c r="N463" s="1102">
        <v>46111</v>
      </c>
      <c r="O463" s="1102" t="s">
        <v>70</v>
      </c>
      <c r="P463" s="1102" t="s">
        <v>195</v>
      </c>
      <c r="Q463" s="1102" t="s">
        <v>196</v>
      </c>
      <c r="R463" s="1102" t="s">
        <v>73</v>
      </c>
      <c r="S463" s="1102" t="s">
        <v>967</v>
      </c>
      <c r="T463" s="1102">
        <v>450</v>
      </c>
      <c r="U463" s="1102">
        <v>1872</v>
      </c>
      <c r="V463" s="1102">
        <v>0.84240000000000004</v>
      </c>
      <c r="W463" s="1102">
        <v>52</v>
      </c>
      <c r="X463" s="1102">
        <v>2</v>
      </c>
      <c r="Y463" s="1102" t="s">
        <v>951</v>
      </c>
      <c r="Z463" s="1102" t="s">
        <v>75</v>
      </c>
      <c r="AA463" s="1102" t="s">
        <v>2038</v>
      </c>
      <c r="AB463" s="1103">
        <v>46132</v>
      </c>
      <c r="AC463" s="1102">
        <v>17</v>
      </c>
      <c r="AD463" s="1102" t="s">
        <v>2254</v>
      </c>
      <c r="AF463" s="1102" t="s">
        <v>1891</v>
      </c>
      <c r="AG463" s="1102" t="s">
        <v>123</v>
      </c>
      <c r="AH463" s="1102" t="s">
        <v>1084</v>
      </c>
      <c r="AI463" s="1103">
        <v>46137</v>
      </c>
      <c r="AJ463" s="1103">
        <v>46137</v>
      </c>
      <c r="AK463" s="1103">
        <v>46138</v>
      </c>
      <c r="AL463" s="1103">
        <v>46182</v>
      </c>
      <c r="AM463" s="1103">
        <v>46182</v>
      </c>
      <c r="AN463" s="1103">
        <v>46193</v>
      </c>
      <c r="AO463" s="1102" t="s">
        <v>402</v>
      </c>
      <c r="AP463" s="1102" t="s">
        <v>2255</v>
      </c>
      <c r="AQ463" s="1102" t="s">
        <v>161</v>
      </c>
      <c r="AR463" s="1102" t="s">
        <v>2256</v>
      </c>
      <c r="AS463" s="1102" t="s">
        <v>2257</v>
      </c>
      <c r="AT463" s="1102" t="s">
        <v>2258</v>
      </c>
      <c r="AU463" s="1102">
        <v>55</v>
      </c>
      <c r="AW463" s="1103">
        <v>46193</v>
      </c>
      <c r="AX463" s="1102" t="s">
        <v>973</v>
      </c>
      <c r="AY463" s="1103">
        <v>46177</v>
      </c>
      <c r="AZ463" s="1102">
        <v>0</v>
      </c>
      <c r="BA463" s="1103">
        <v>46193</v>
      </c>
      <c r="BB463" s="1102">
        <v>2026</v>
      </c>
      <c r="BC463" s="1102">
        <v>6</v>
      </c>
      <c r="BD463" s="1102">
        <v>25</v>
      </c>
      <c r="BE463" s="1102">
        <v>36</v>
      </c>
      <c r="BF463" s="1102">
        <v>936</v>
      </c>
      <c r="BG463" s="1102" t="s">
        <v>85</v>
      </c>
      <c r="BH463" s="1102" t="s">
        <v>109</v>
      </c>
    </row>
    <row r="464" spans="1:60">
      <c r="A464" s="1102" t="s">
        <v>2259</v>
      </c>
      <c r="B464" s="1102" t="s">
        <v>61</v>
      </c>
      <c r="C464" s="1102" t="s">
        <v>2260</v>
      </c>
      <c r="D464" s="1102" t="s">
        <v>63</v>
      </c>
      <c r="E464" s="1102" t="s">
        <v>64</v>
      </c>
      <c r="F464" s="1102" t="s">
        <v>450</v>
      </c>
      <c r="G464" s="1102" t="s">
        <v>402</v>
      </c>
      <c r="H464" s="1102" t="s">
        <v>451</v>
      </c>
      <c r="I464" s="1102" t="s">
        <v>869</v>
      </c>
      <c r="J464" s="1102" t="s">
        <v>1832</v>
      </c>
      <c r="M464" s="1102" t="s">
        <v>68</v>
      </c>
      <c r="N464" s="1102" t="s">
        <v>68</v>
      </c>
      <c r="O464" s="1102" t="s">
        <v>70</v>
      </c>
      <c r="P464" s="1102" t="s">
        <v>1151</v>
      </c>
      <c r="Q464" s="1102" t="s">
        <v>421</v>
      </c>
      <c r="R464" s="1102" t="s">
        <v>73</v>
      </c>
      <c r="S464" s="1102" t="s">
        <v>967</v>
      </c>
      <c r="T464" s="1102">
        <v>505</v>
      </c>
      <c r="U464" s="1102">
        <v>4320</v>
      </c>
      <c r="V464" s="1102">
        <v>2.1816</v>
      </c>
      <c r="W464" s="1102">
        <v>120</v>
      </c>
      <c r="X464" s="1102">
        <v>5</v>
      </c>
      <c r="Y464" s="1102" t="s">
        <v>951</v>
      </c>
      <c r="Z464" s="1102" t="s">
        <v>75</v>
      </c>
      <c r="AA464" s="1102" t="s">
        <v>2261</v>
      </c>
      <c r="AB464" s="1103">
        <v>46130</v>
      </c>
      <c r="AC464" s="1102">
        <v>16</v>
      </c>
      <c r="AD464" s="1102" t="s">
        <v>2262</v>
      </c>
      <c r="AF464" s="1102" t="s">
        <v>61</v>
      </c>
      <c r="AG464" s="1102" t="s">
        <v>61</v>
      </c>
      <c r="AH464" s="1102" t="s">
        <v>456</v>
      </c>
      <c r="AI464" s="1103">
        <v>46137</v>
      </c>
      <c r="AJ464" s="1103">
        <v>46137</v>
      </c>
      <c r="AK464" s="1103">
        <v>46137</v>
      </c>
      <c r="AL464" s="1103">
        <v>46187</v>
      </c>
      <c r="AM464" s="1103">
        <v>46193</v>
      </c>
      <c r="AN464" s="1103">
        <v>46195</v>
      </c>
      <c r="AO464" s="1102" t="s">
        <v>402</v>
      </c>
      <c r="AP464" s="1102" t="s">
        <v>2263</v>
      </c>
      <c r="AQ464" s="1102" t="s">
        <v>161</v>
      </c>
      <c r="AR464" s="1102" t="s">
        <v>2264</v>
      </c>
      <c r="AS464" s="1102" t="s">
        <v>2265</v>
      </c>
      <c r="AT464" s="1102" t="s">
        <v>2266</v>
      </c>
      <c r="AU464" s="1102">
        <v>58</v>
      </c>
      <c r="AW464" s="1103">
        <v>46195</v>
      </c>
      <c r="AX464" s="1102" t="s">
        <v>973</v>
      </c>
      <c r="AY464" s="1103">
        <v>46205</v>
      </c>
      <c r="AZ464" s="1102">
        <v>7</v>
      </c>
      <c r="BA464" s="1103">
        <v>46202</v>
      </c>
      <c r="BB464" s="1102">
        <v>2026</v>
      </c>
      <c r="BC464" s="1102">
        <v>6</v>
      </c>
      <c r="BD464" s="1102">
        <v>27</v>
      </c>
      <c r="BE464" s="1102">
        <v>36</v>
      </c>
      <c r="BF464" s="1102">
        <v>864</v>
      </c>
      <c r="BG464" s="1102" t="s">
        <v>85</v>
      </c>
      <c r="BH464" s="1102" t="s">
        <v>109</v>
      </c>
    </row>
    <row r="465" spans="1:60">
      <c r="A465" s="1102" t="s">
        <v>2267</v>
      </c>
      <c r="B465" s="1102" t="s">
        <v>61</v>
      </c>
      <c r="C465" s="1102" t="s">
        <v>2268</v>
      </c>
      <c r="D465" s="1102" t="s">
        <v>63</v>
      </c>
      <c r="E465" s="1102" t="s">
        <v>64</v>
      </c>
      <c r="F465" s="1102" t="s">
        <v>100</v>
      </c>
      <c r="G465" s="1102" t="s">
        <v>402</v>
      </c>
      <c r="H465" s="1102" t="s">
        <v>67</v>
      </c>
      <c r="I465" s="1102" t="s">
        <v>1395</v>
      </c>
      <c r="J465" s="1102" t="s">
        <v>578</v>
      </c>
      <c r="M465" s="1102" t="s">
        <v>68</v>
      </c>
      <c r="N465" s="1102" t="s">
        <v>68</v>
      </c>
      <c r="O465" s="1102" t="s">
        <v>70</v>
      </c>
      <c r="P465" s="1102" t="s">
        <v>71</v>
      </c>
      <c r="Q465" s="1102" t="s">
        <v>72</v>
      </c>
      <c r="R465" s="1102" t="s">
        <v>73</v>
      </c>
      <c r="S465" s="1102" t="s">
        <v>967</v>
      </c>
      <c r="T465" s="1102">
        <v>500</v>
      </c>
      <c r="U465" s="1102">
        <v>5184</v>
      </c>
      <c r="V465" s="1102">
        <v>2.5920000000000001</v>
      </c>
      <c r="W465" s="1102">
        <v>144</v>
      </c>
      <c r="X465" s="1102">
        <v>6</v>
      </c>
      <c r="Y465" s="1102" t="s">
        <v>951</v>
      </c>
      <c r="Z465" s="1102" t="s">
        <v>75</v>
      </c>
      <c r="AA465" s="1102" t="s">
        <v>2269</v>
      </c>
      <c r="AB465" s="1103">
        <v>46133</v>
      </c>
      <c r="AC465" s="1102">
        <v>17</v>
      </c>
      <c r="AD465" s="1102" t="s">
        <v>2270</v>
      </c>
      <c r="AF465" s="1102" t="s">
        <v>77</v>
      </c>
      <c r="AG465" s="1102" t="s">
        <v>61</v>
      </c>
      <c r="AH465" s="1102" t="s">
        <v>105</v>
      </c>
      <c r="AI465" s="1103">
        <v>46138</v>
      </c>
      <c r="AJ465" s="1103">
        <v>46138</v>
      </c>
      <c r="AK465" s="1103">
        <v>46138</v>
      </c>
      <c r="AL465" s="1103">
        <v>46186</v>
      </c>
      <c r="AM465" s="1103">
        <v>46186</v>
      </c>
      <c r="AN465" s="1103">
        <v>46189</v>
      </c>
      <c r="AO465" s="1102" t="s">
        <v>402</v>
      </c>
      <c r="AP465" s="1102" t="s">
        <v>2271</v>
      </c>
      <c r="AQ465" s="1102" t="s">
        <v>161</v>
      </c>
      <c r="AR465" s="1102" t="s">
        <v>2272</v>
      </c>
      <c r="AS465" s="1102" t="s">
        <v>2273</v>
      </c>
      <c r="AT465" s="1102" t="s">
        <v>2273</v>
      </c>
      <c r="AU465" s="1102">
        <v>51</v>
      </c>
      <c r="AW465" s="1103">
        <v>46189</v>
      </c>
      <c r="AX465" s="1102" t="s">
        <v>973</v>
      </c>
      <c r="AY465" s="1103">
        <v>46201</v>
      </c>
      <c r="AZ465" s="1102">
        <v>7</v>
      </c>
      <c r="BA465" s="1103">
        <v>46196</v>
      </c>
      <c r="BB465" s="1102">
        <v>2026</v>
      </c>
      <c r="BC465" s="1102">
        <v>6</v>
      </c>
      <c r="BD465" s="1102">
        <v>26</v>
      </c>
      <c r="BE465" s="1102">
        <v>36</v>
      </c>
      <c r="BF465" s="1102">
        <v>864</v>
      </c>
      <c r="BG465" s="1102" t="s">
        <v>85</v>
      </c>
      <c r="BH465" s="1102" t="s">
        <v>109</v>
      </c>
    </row>
    <row r="466" spans="1:60">
      <c r="A466" s="1102" t="s">
        <v>2274</v>
      </c>
      <c r="B466" s="1102" t="s">
        <v>61</v>
      </c>
      <c r="C466" s="1102" t="s">
        <v>2260</v>
      </c>
      <c r="D466" s="1102" t="s">
        <v>63</v>
      </c>
      <c r="E466" s="1102" t="s">
        <v>64</v>
      </c>
      <c r="F466" s="1102" t="s">
        <v>100</v>
      </c>
      <c r="G466" s="1102" t="s">
        <v>402</v>
      </c>
      <c r="H466" s="1102" t="s">
        <v>67</v>
      </c>
      <c r="I466" s="1102" t="s">
        <v>882</v>
      </c>
      <c r="J466" s="1102" t="s">
        <v>96</v>
      </c>
      <c r="M466" s="1102" t="s">
        <v>68</v>
      </c>
      <c r="N466" s="1102" t="s">
        <v>68</v>
      </c>
      <c r="O466" s="1102" t="s">
        <v>70</v>
      </c>
      <c r="P466" s="1102" t="s">
        <v>1151</v>
      </c>
      <c r="Q466" s="1102" t="s">
        <v>421</v>
      </c>
      <c r="R466" s="1102" t="s">
        <v>73</v>
      </c>
      <c r="S466" s="1102" t="s">
        <v>967</v>
      </c>
      <c r="T466" s="1102">
        <v>505</v>
      </c>
      <c r="U466" s="1102">
        <v>4320</v>
      </c>
      <c r="V466" s="1102">
        <v>2.1816</v>
      </c>
      <c r="W466" s="1102">
        <v>120</v>
      </c>
      <c r="X466" s="1102">
        <v>5</v>
      </c>
      <c r="Y466" s="1102" t="s">
        <v>951</v>
      </c>
      <c r="Z466" s="1102" t="s">
        <v>75</v>
      </c>
      <c r="AA466" s="1102" t="s">
        <v>2275</v>
      </c>
      <c r="AB466" s="1103">
        <v>46133</v>
      </c>
      <c r="AC466" s="1102">
        <v>17</v>
      </c>
      <c r="AD466" s="1102" t="s">
        <v>2276</v>
      </c>
      <c r="AF466" s="1102" t="s">
        <v>61</v>
      </c>
      <c r="AG466" s="1102" t="s">
        <v>61</v>
      </c>
      <c r="AH466" s="1102" t="s">
        <v>105</v>
      </c>
      <c r="AI466" s="1103">
        <v>46138</v>
      </c>
      <c r="AJ466" s="1103">
        <v>46138</v>
      </c>
      <c r="AK466" s="1103">
        <v>46138</v>
      </c>
      <c r="AL466" s="1103">
        <v>46182</v>
      </c>
      <c r="AM466" s="1103">
        <v>46185</v>
      </c>
      <c r="AN466" s="1103">
        <v>46189</v>
      </c>
      <c r="AO466" s="1102" t="s">
        <v>402</v>
      </c>
      <c r="AP466" s="1102" t="s">
        <v>2227</v>
      </c>
      <c r="AQ466" s="1102" t="s">
        <v>80</v>
      </c>
      <c r="AR466" s="1102" t="s">
        <v>2277</v>
      </c>
      <c r="AS466" s="1102" t="s">
        <v>2278</v>
      </c>
      <c r="AT466" s="1102" t="s">
        <v>2278</v>
      </c>
      <c r="AU466" s="1102">
        <v>51</v>
      </c>
      <c r="AW466" s="1103">
        <v>46189</v>
      </c>
      <c r="AX466" s="1102" t="s">
        <v>973</v>
      </c>
      <c r="AY466" s="1103">
        <v>46202</v>
      </c>
      <c r="AZ466" s="1102">
        <v>7</v>
      </c>
      <c r="BA466" s="1103">
        <v>46196</v>
      </c>
      <c r="BB466" s="1102">
        <v>2026</v>
      </c>
      <c r="BC466" s="1102">
        <v>6</v>
      </c>
      <c r="BD466" s="1102">
        <v>26</v>
      </c>
      <c r="BE466" s="1102">
        <v>36</v>
      </c>
      <c r="BF466" s="1102">
        <v>864</v>
      </c>
      <c r="BG466" s="1102" t="s">
        <v>85</v>
      </c>
      <c r="BH466" s="1102" t="s">
        <v>109</v>
      </c>
    </row>
    <row r="467" spans="1:60">
      <c r="A467" s="1102" t="s">
        <v>2279</v>
      </c>
      <c r="B467" s="1102" t="s">
        <v>61</v>
      </c>
      <c r="C467" s="1102" t="s">
        <v>2260</v>
      </c>
      <c r="D467" s="1102" t="s">
        <v>63</v>
      </c>
      <c r="E467" s="1102" t="s">
        <v>64</v>
      </c>
      <c r="F467" s="1102" t="s">
        <v>100</v>
      </c>
      <c r="G467" s="1102" t="s">
        <v>402</v>
      </c>
      <c r="H467" s="1102" t="s">
        <v>67</v>
      </c>
      <c r="I467" s="1102" t="s">
        <v>882</v>
      </c>
      <c r="J467" s="1102" t="s">
        <v>96</v>
      </c>
      <c r="M467" s="1102" t="s">
        <v>68</v>
      </c>
      <c r="N467" s="1102" t="s">
        <v>68</v>
      </c>
      <c r="O467" s="1102" t="s">
        <v>70</v>
      </c>
      <c r="P467" s="1102" t="s">
        <v>1151</v>
      </c>
      <c r="Q467" s="1102" t="s">
        <v>421</v>
      </c>
      <c r="R467" s="1102" t="s">
        <v>73</v>
      </c>
      <c r="S467" s="1102" t="s">
        <v>967</v>
      </c>
      <c r="T467" s="1102">
        <v>505</v>
      </c>
      <c r="U467" s="1102">
        <v>5184</v>
      </c>
      <c r="V467" s="1102">
        <v>2.6179199999999998</v>
      </c>
      <c r="W467" s="1102">
        <v>144</v>
      </c>
      <c r="X467" s="1102">
        <v>6</v>
      </c>
      <c r="Y467" s="1102" t="s">
        <v>951</v>
      </c>
      <c r="Z467" s="1102" t="s">
        <v>75</v>
      </c>
      <c r="AA467" s="1102" t="s">
        <v>2183</v>
      </c>
      <c r="AB467" s="1103">
        <v>46135</v>
      </c>
      <c r="AC467" s="1102">
        <v>17</v>
      </c>
      <c r="AD467" s="1102" t="s">
        <v>2280</v>
      </c>
      <c r="AF467" s="1102" t="s">
        <v>61</v>
      </c>
      <c r="AG467" s="1102" t="s">
        <v>61</v>
      </c>
      <c r="AH467" s="1102" t="s">
        <v>105</v>
      </c>
      <c r="AI467" s="1103">
        <v>46139</v>
      </c>
      <c r="AJ467" s="1103">
        <v>46141</v>
      </c>
      <c r="AK467" s="1103">
        <v>46140</v>
      </c>
      <c r="AL467" s="1103">
        <v>46207</v>
      </c>
      <c r="AM467" s="1103">
        <v>46200</v>
      </c>
      <c r="AN467" s="1103">
        <v>46200</v>
      </c>
      <c r="AO467" s="1102" t="s">
        <v>402</v>
      </c>
      <c r="AP467" s="1102" t="s">
        <v>2281</v>
      </c>
      <c r="AQ467" s="1102" t="s">
        <v>161</v>
      </c>
      <c r="AR467" s="1102" t="s">
        <v>2282</v>
      </c>
      <c r="AS467" s="1102" t="s">
        <v>2283</v>
      </c>
      <c r="AT467" s="1102" t="s">
        <v>2284</v>
      </c>
      <c r="AU467" s="1102">
        <v>60</v>
      </c>
      <c r="AW467" s="1103">
        <v>46200</v>
      </c>
      <c r="AX467" s="1102" t="s">
        <v>973</v>
      </c>
      <c r="AY467" s="1103">
        <v>46212</v>
      </c>
      <c r="AZ467" s="1102">
        <v>7</v>
      </c>
      <c r="BA467" s="1103">
        <v>46207</v>
      </c>
      <c r="BB467" s="1102">
        <v>2026</v>
      </c>
      <c r="BC467" s="1102">
        <v>7</v>
      </c>
      <c r="BD467" s="1102">
        <v>27</v>
      </c>
      <c r="BE467" s="1102">
        <v>36</v>
      </c>
      <c r="BF467" s="1102">
        <v>864</v>
      </c>
      <c r="BG467" s="1102" t="s">
        <v>85</v>
      </c>
      <c r="BH467" s="1102" t="s">
        <v>109</v>
      </c>
    </row>
    <row r="468" spans="1:60">
      <c r="A468" s="1102" t="s">
        <v>2285</v>
      </c>
      <c r="B468" s="1102" t="s">
        <v>61</v>
      </c>
      <c r="C468" s="1102" t="s">
        <v>2286</v>
      </c>
      <c r="D468" s="1102" t="s">
        <v>63</v>
      </c>
      <c r="E468" s="1102" t="s">
        <v>144</v>
      </c>
      <c r="F468" s="1102" t="s">
        <v>145</v>
      </c>
      <c r="G468" s="1102" t="s">
        <v>402</v>
      </c>
      <c r="H468" s="1102" t="s">
        <v>67</v>
      </c>
      <c r="I468" s="1102" t="s">
        <v>689</v>
      </c>
      <c r="J468" s="1102" t="s">
        <v>2287</v>
      </c>
      <c r="K468" s="1102" t="s">
        <v>2288</v>
      </c>
      <c r="M468" s="1102" t="s">
        <v>840</v>
      </c>
      <c r="N468" s="1102">
        <v>46125</v>
      </c>
      <c r="O468" s="1102" t="s">
        <v>70</v>
      </c>
      <c r="P468" s="1102" t="s">
        <v>195</v>
      </c>
      <c r="Q468" s="1102" t="s">
        <v>196</v>
      </c>
      <c r="R468" s="1102" t="s">
        <v>73</v>
      </c>
      <c r="S468" s="1102" t="s">
        <v>967</v>
      </c>
      <c r="T468" s="1102">
        <v>450</v>
      </c>
      <c r="U468" s="1102">
        <v>2808</v>
      </c>
      <c r="V468" s="1102">
        <v>1.2636000000000001</v>
      </c>
      <c r="W468" s="1102">
        <v>78</v>
      </c>
      <c r="X468" s="1102">
        <v>3</v>
      </c>
      <c r="Y468" s="1102" t="s">
        <v>951</v>
      </c>
      <c r="Z468" s="1102" t="s">
        <v>75</v>
      </c>
      <c r="AB468" s="1103">
        <v>46135</v>
      </c>
      <c r="AC468" s="1102">
        <v>17</v>
      </c>
      <c r="AD468" s="1102" t="s">
        <v>2289</v>
      </c>
      <c r="AF468" s="1102" t="s">
        <v>77</v>
      </c>
      <c r="AG468" s="1102" t="s">
        <v>61</v>
      </c>
      <c r="AH468" s="1102" t="s">
        <v>105</v>
      </c>
      <c r="AI468" s="1103">
        <v>46139</v>
      </c>
      <c r="AJ468" s="1103">
        <v>46141</v>
      </c>
      <c r="AK468" s="1103">
        <v>46140</v>
      </c>
      <c r="AL468" s="1103">
        <v>46207</v>
      </c>
      <c r="AM468" s="1103">
        <v>46200</v>
      </c>
      <c r="AN468" s="1103">
        <v>46200</v>
      </c>
      <c r="AO468" s="1102" t="s">
        <v>402</v>
      </c>
      <c r="AP468" s="1102" t="s">
        <v>2281</v>
      </c>
      <c r="AQ468" s="1102" t="s">
        <v>161</v>
      </c>
      <c r="AR468" s="1102" t="s">
        <v>2290</v>
      </c>
      <c r="AS468" s="1102" t="s">
        <v>2291</v>
      </c>
      <c r="AT468" s="1102" t="s">
        <v>2292</v>
      </c>
      <c r="AU468" s="1102">
        <v>60</v>
      </c>
      <c r="AW468" s="1103">
        <v>46200</v>
      </c>
      <c r="AX468" s="1102" t="s">
        <v>973</v>
      </c>
      <c r="AY468" s="1103">
        <v>46212</v>
      </c>
      <c r="AZ468" s="1102">
        <v>0</v>
      </c>
      <c r="BA468" s="1103">
        <v>46200</v>
      </c>
      <c r="BB468" s="1102">
        <v>2026</v>
      </c>
      <c r="BC468" s="1102">
        <v>6</v>
      </c>
      <c r="BD468" s="1102">
        <v>26</v>
      </c>
      <c r="BE468" s="1102">
        <v>36</v>
      </c>
      <c r="BF468" s="1102">
        <v>936</v>
      </c>
      <c r="BG468" s="1102" t="s">
        <v>85</v>
      </c>
      <c r="BH468" s="1102" t="s">
        <v>109</v>
      </c>
    </row>
    <row r="469" spans="1:60">
      <c r="A469" s="1102" t="s">
        <v>2293</v>
      </c>
      <c r="B469" s="1102" t="s">
        <v>61</v>
      </c>
      <c r="C469" s="1102" t="s">
        <v>2286</v>
      </c>
      <c r="D469" s="1102" t="s">
        <v>63</v>
      </c>
      <c r="E469" s="1102" t="s">
        <v>64</v>
      </c>
      <c r="F469" s="1102" t="s">
        <v>100</v>
      </c>
      <c r="G469" s="1102" t="s">
        <v>402</v>
      </c>
      <c r="H469" s="1102" t="s">
        <v>67</v>
      </c>
      <c r="I469" s="1102" t="s">
        <v>689</v>
      </c>
      <c r="J469" s="1102" t="s">
        <v>96</v>
      </c>
      <c r="M469" s="1102" t="s">
        <v>68</v>
      </c>
      <c r="N469" s="1102">
        <v>46125</v>
      </c>
      <c r="O469" s="1102" t="s">
        <v>70</v>
      </c>
      <c r="P469" s="1102" t="s">
        <v>195</v>
      </c>
      <c r="Q469" s="1102" t="s">
        <v>196</v>
      </c>
      <c r="R469" s="1102" t="s">
        <v>73</v>
      </c>
      <c r="S469" s="1102" t="s">
        <v>967</v>
      </c>
      <c r="T469" s="1102">
        <v>450</v>
      </c>
      <c r="U469" s="1102">
        <v>11232</v>
      </c>
      <c r="V469" s="1102">
        <v>5.0544000000000002</v>
      </c>
      <c r="W469" s="1102">
        <v>312</v>
      </c>
      <c r="X469" s="1102">
        <v>12</v>
      </c>
      <c r="Y469" s="1102" t="s">
        <v>951</v>
      </c>
      <c r="Z469" s="1102" t="s">
        <v>75</v>
      </c>
      <c r="AB469" s="1103">
        <v>46135</v>
      </c>
      <c r="AC469" s="1102">
        <v>17</v>
      </c>
      <c r="AD469" s="1102" t="s">
        <v>2294</v>
      </c>
      <c r="AF469" s="1102" t="s">
        <v>77</v>
      </c>
      <c r="AG469" s="1102" t="s">
        <v>61</v>
      </c>
      <c r="AH469" s="1102" t="s">
        <v>105</v>
      </c>
      <c r="AI469" s="1103">
        <v>46139</v>
      </c>
      <c r="AJ469" s="1103">
        <v>46141</v>
      </c>
      <c r="AK469" s="1103">
        <v>46140</v>
      </c>
      <c r="AL469" s="1103">
        <v>46207</v>
      </c>
      <c r="AM469" s="1103">
        <v>46200</v>
      </c>
      <c r="AN469" s="1103">
        <v>46200</v>
      </c>
      <c r="AO469" s="1102" t="s">
        <v>402</v>
      </c>
      <c r="AP469" s="1102" t="s">
        <v>2281</v>
      </c>
      <c r="AQ469" s="1102" t="s">
        <v>161</v>
      </c>
      <c r="AR469" s="1102" t="s">
        <v>2290</v>
      </c>
      <c r="AS469" s="1102" t="s">
        <v>2295</v>
      </c>
      <c r="AT469" s="1102" t="s">
        <v>2292</v>
      </c>
      <c r="AU469" s="1102">
        <v>60</v>
      </c>
      <c r="AW469" s="1103">
        <v>46200</v>
      </c>
      <c r="AX469" s="1102" t="s">
        <v>973</v>
      </c>
      <c r="AY469" s="1103">
        <v>46212</v>
      </c>
      <c r="AZ469" s="1102">
        <v>7</v>
      </c>
      <c r="BA469" s="1103">
        <v>46207</v>
      </c>
      <c r="BB469" s="1102">
        <v>2026</v>
      </c>
      <c r="BC469" s="1102">
        <v>7</v>
      </c>
      <c r="BD469" s="1102">
        <v>27</v>
      </c>
      <c r="BE469" s="1102">
        <v>36</v>
      </c>
      <c r="BF469" s="1102">
        <v>936</v>
      </c>
      <c r="BG469" s="1102" t="s">
        <v>85</v>
      </c>
      <c r="BH469" s="1102" t="s">
        <v>109</v>
      </c>
    </row>
    <row r="470" spans="1:60">
      <c r="A470" s="1102" t="s">
        <v>2296</v>
      </c>
      <c r="B470" s="1102" t="s">
        <v>111</v>
      </c>
      <c r="C470" s="1102" t="s">
        <v>2297</v>
      </c>
      <c r="D470" s="1102" t="s">
        <v>113</v>
      </c>
      <c r="E470" s="1102" t="s">
        <v>64</v>
      </c>
      <c r="F470" s="1102">
        <v>0</v>
      </c>
      <c r="G470" s="1102" t="s">
        <v>402</v>
      </c>
      <c r="H470" s="1102" t="s">
        <v>451</v>
      </c>
      <c r="I470" s="1102" t="s">
        <v>822</v>
      </c>
      <c r="J470" s="1102" t="s">
        <v>2298</v>
      </c>
      <c r="M470" s="1102" t="s">
        <v>68</v>
      </c>
      <c r="N470" s="1102">
        <v>46132</v>
      </c>
      <c r="O470" s="1102" t="s">
        <v>70</v>
      </c>
      <c r="P470" s="1102" t="s">
        <v>2299</v>
      </c>
      <c r="Q470" s="1102" t="s">
        <v>1682</v>
      </c>
      <c r="R470" s="1102" t="s">
        <v>73</v>
      </c>
      <c r="S470" s="1102" t="s">
        <v>1808</v>
      </c>
      <c r="T470" s="1102">
        <v>730</v>
      </c>
      <c r="U470" s="1102">
        <v>4752</v>
      </c>
      <c r="V470" s="1102">
        <v>3.46896</v>
      </c>
      <c r="W470" s="1102">
        <v>144</v>
      </c>
      <c r="X470" s="1102">
        <v>8</v>
      </c>
      <c r="Y470" s="1102" t="s">
        <v>951</v>
      </c>
      <c r="Z470" s="1102" t="s">
        <v>75</v>
      </c>
      <c r="AA470" s="1102" t="s">
        <v>2269</v>
      </c>
      <c r="AB470" s="1103">
        <v>46138</v>
      </c>
      <c r="AC470" s="1102">
        <v>17</v>
      </c>
      <c r="AD470" s="1102" t="s">
        <v>2300</v>
      </c>
      <c r="AF470" s="1102" t="s">
        <v>122</v>
      </c>
      <c r="AG470" s="1102" t="s">
        <v>123</v>
      </c>
      <c r="AH470" s="1102" t="s">
        <v>2301</v>
      </c>
      <c r="AI470" s="1103">
        <v>46144</v>
      </c>
      <c r="AJ470" s="1103">
        <v>46144</v>
      </c>
      <c r="AK470" s="1103">
        <v>46144</v>
      </c>
      <c r="AL470" s="1103">
        <v>46197</v>
      </c>
      <c r="AM470" s="1103">
        <v>46214</v>
      </c>
      <c r="AN470" s="1103">
        <v>46213</v>
      </c>
      <c r="AO470" s="1102" t="s">
        <v>402</v>
      </c>
      <c r="AP470" s="1102" t="s">
        <v>2302</v>
      </c>
      <c r="AQ470" s="1102" t="s">
        <v>161</v>
      </c>
      <c r="AR470" s="1102" t="s">
        <v>2303</v>
      </c>
      <c r="AS470" s="1102" t="s">
        <v>2304</v>
      </c>
      <c r="AT470" s="1102" t="s">
        <v>2305</v>
      </c>
      <c r="AU470" s="1102">
        <v>69</v>
      </c>
      <c r="AW470" s="1103">
        <v>46213</v>
      </c>
      <c r="AX470" s="1102" t="s">
        <v>973</v>
      </c>
      <c r="AY470" s="1103">
        <v>46230</v>
      </c>
      <c r="AZ470" s="1102">
        <v>7</v>
      </c>
      <c r="BA470" s="1103">
        <v>46220</v>
      </c>
      <c r="BB470" s="1102">
        <v>2026</v>
      </c>
      <c r="BC470" s="1102">
        <v>7</v>
      </c>
      <c r="BD470" s="1102">
        <v>29</v>
      </c>
      <c r="BE470" s="1102">
        <v>33</v>
      </c>
      <c r="BF470" s="1102">
        <v>594</v>
      </c>
      <c r="BG470" s="1102" t="s">
        <v>94</v>
      </c>
      <c r="BH470" s="1102" t="s">
        <v>109</v>
      </c>
    </row>
    <row r="471" spans="1:60">
      <c r="A471" s="1102" t="s">
        <v>2306</v>
      </c>
      <c r="B471" s="1102" t="s">
        <v>111</v>
      </c>
      <c r="C471" s="1102" t="s">
        <v>2307</v>
      </c>
      <c r="D471" s="1102" t="s">
        <v>113</v>
      </c>
      <c r="E471" s="1102" t="s">
        <v>64</v>
      </c>
      <c r="F471" s="1102">
        <v>0</v>
      </c>
      <c r="G471" s="1102" t="s">
        <v>402</v>
      </c>
      <c r="H471" s="1102" t="s">
        <v>451</v>
      </c>
      <c r="I471" s="1102" t="s">
        <v>822</v>
      </c>
      <c r="J471" s="1102" t="s">
        <v>2298</v>
      </c>
      <c r="M471" s="1102" t="s">
        <v>68</v>
      </c>
      <c r="N471" s="1102">
        <v>46132</v>
      </c>
      <c r="O471" s="1102" t="s">
        <v>70</v>
      </c>
      <c r="P471" s="1102" t="s">
        <v>2308</v>
      </c>
      <c r="Q471" s="1102" t="s">
        <v>1484</v>
      </c>
      <c r="R471" s="1102" t="s">
        <v>73</v>
      </c>
      <c r="S471" s="1102" t="s">
        <v>1808</v>
      </c>
      <c r="T471" s="1102">
        <v>725</v>
      </c>
      <c r="U471" s="1102">
        <v>1188</v>
      </c>
      <c r="V471" s="1102">
        <v>0.86129999999999995</v>
      </c>
      <c r="W471" s="1102">
        <v>36</v>
      </c>
      <c r="X471" s="1102">
        <v>2</v>
      </c>
      <c r="Y471" s="1102" t="s">
        <v>951</v>
      </c>
      <c r="Z471" s="1102" t="s">
        <v>75</v>
      </c>
      <c r="AA471" s="1102" t="s">
        <v>2269</v>
      </c>
      <c r="AB471" s="1103">
        <v>46138</v>
      </c>
      <c r="AC471" s="1102">
        <v>17</v>
      </c>
      <c r="AD471" s="1102" t="s">
        <v>2309</v>
      </c>
      <c r="AF471" s="1102" t="s">
        <v>122</v>
      </c>
      <c r="AG471" s="1102" t="s">
        <v>123</v>
      </c>
      <c r="AH471" s="1102" t="s">
        <v>2301</v>
      </c>
      <c r="AI471" s="1103">
        <v>46144</v>
      </c>
      <c r="AJ471" s="1103">
        <v>46144</v>
      </c>
      <c r="AK471" s="1103">
        <v>46144</v>
      </c>
      <c r="AL471" s="1103">
        <v>46197</v>
      </c>
      <c r="AM471" s="1103">
        <v>46214</v>
      </c>
      <c r="AN471" s="1103">
        <v>46213</v>
      </c>
      <c r="AO471" s="1102" t="s">
        <v>402</v>
      </c>
      <c r="AP471" s="1102" t="s">
        <v>2302</v>
      </c>
      <c r="AQ471" s="1102" t="s">
        <v>161</v>
      </c>
      <c r="AR471" s="1102" t="s">
        <v>2303</v>
      </c>
      <c r="AS471" s="1102" t="s">
        <v>2304</v>
      </c>
      <c r="AT471" s="1102" t="s">
        <v>2305</v>
      </c>
      <c r="AU471" s="1102">
        <v>69</v>
      </c>
      <c r="AW471" s="1103">
        <v>46213</v>
      </c>
      <c r="AX471" s="1102" t="s">
        <v>973</v>
      </c>
      <c r="AY471" s="1103">
        <v>46230</v>
      </c>
      <c r="AZ471" s="1102">
        <v>7</v>
      </c>
      <c r="BA471" s="1103">
        <v>46220</v>
      </c>
      <c r="BB471" s="1102">
        <v>2026</v>
      </c>
      <c r="BC471" s="1102">
        <v>7</v>
      </c>
      <c r="BD471" s="1102">
        <v>29</v>
      </c>
      <c r="BE471" s="1102">
        <v>33</v>
      </c>
      <c r="BF471" s="1102">
        <v>594</v>
      </c>
      <c r="BG471" s="1102" t="s">
        <v>94</v>
      </c>
      <c r="BH471" s="1102" t="s">
        <v>109</v>
      </c>
    </row>
    <row r="472" spans="1:60">
      <c r="A472" s="1102" t="s">
        <v>2310</v>
      </c>
      <c r="B472" s="1102" t="s">
        <v>111</v>
      </c>
      <c r="C472" s="1102" t="s">
        <v>2307</v>
      </c>
      <c r="D472" s="1102" t="s">
        <v>113</v>
      </c>
      <c r="E472" s="1102" t="s">
        <v>64</v>
      </c>
      <c r="F472" s="1102">
        <v>0</v>
      </c>
      <c r="G472" s="1102" t="s">
        <v>402</v>
      </c>
      <c r="H472" s="1102" t="s">
        <v>451</v>
      </c>
      <c r="I472" s="1102" t="s">
        <v>822</v>
      </c>
      <c r="J472" s="1102" t="s">
        <v>2298</v>
      </c>
      <c r="M472" s="1102" t="s">
        <v>68</v>
      </c>
      <c r="N472" s="1102">
        <v>46132</v>
      </c>
      <c r="O472" s="1102" t="s">
        <v>70</v>
      </c>
      <c r="P472" s="1102" t="s">
        <v>2308</v>
      </c>
      <c r="Q472" s="1102" t="s">
        <v>1484</v>
      </c>
      <c r="R472" s="1102" t="s">
        <v>73</v>
      </c>
      <c r="S472" s="1102" t="s">
        <v>1808</v>
      </c>
      <c r="T472" s="1102">
        <v>725</v>
      </c>
      <c r="U472" s="1102">
        <v>2970</v>
      </c>
      <c r="V472" s="1102">
        <v>2.1532499999999999</v>
      </c>
      <c r="W472" s="1102">
        <v>90</v>
      </c>
      <c r="X472" s="1102">
        <v>5</v>
      </c>
      <c r="Y472" s="1102" t="s">
        <v>951</v>
      </c>
      <c r="Z472" s="1102" t="s">
        <v>75</v>
      </c>
      <c r="AB472" s="1103">
        <v>46142</v>
      </c>
      <c r="AC472" s="1102">
        <v>18</v>
      </c>
      <c r="AD472" s="1102" t="s">
        <v>2311</v>
      </c>
      <c r="AF472" s="1102" t="s">
        <v>122</v>
      </c>
      <c r="AG472" s="1102" t="s">
        <v>123</v>
      </c>
      <c r="AH472" s="1102" t="s">
        <v>2301</v>
      </c>
      <c r="AI472" s="1103">
        <v>46148</v>
      </c>
      <c r="AJ472" s="1103">
        <v>46148</v>
      </c>
      <c r="AK472" s="1103">
        <v>46148</v>
      </c>
      <c r="AL472" s="1103">
        <v>46199</v>
      </c>
      <c r="AM472" s="1103">
        <v>46210</v>
      </c>
      <c r="AN472" s="1103">
        <v>46211</v>
      </c>
      <c r="AO472" s="1102" t="s">
        <v>402</v>
      </c>
      <c r="AP472" s="1102" t="s">
        <v>2312</v>
      </c>
      <c r="AQ472" s="1102" t="s">
        <v>161</v>
      </c>
      <c r="AR472" s="1102" t="s">
        <v>2313</v>
      </c>
      <c r="AS472" s="1102" t="s">
        <v>2314</v>
      </c>
      <c r="AT472" s="1102" t="s">
        <v>2315</v>
      </c>
      <c r="AU472" s="1102">
        <v>63</v>
      </c>
      <c r="AW472" s="1103">
        <v>46211</v>
      </c>
      <c r="AX472" s="1102" t="s">
        <v>973</v>
      </c>
      <c r="AY472" s="1103">
        <v>46230</v>
      </c>
      <c r="AZ472" s="1102">
        <v>7</v>
      </c>
      <c r="BA472" s="1103">
        <v>46218</v>
      </c>
      <c r="BB472" s="1102">
        <v>2026</v>
      </c>
      <c r="BC472" s="1102">
        <v>7</v>
      </c>
      <c r="BD472" s="1102">
        <v>29</v>
      </c>
      <c r="BE472" s="1102">
        <v>33</v>
      </c>
      <c r="BF472" s="1102">
        <v>594</v>
      </c>
      <c r="BG472" s="1102" t="s">
        <v>94</v>
      </c>
      <c r="BH472" s="1102" t="s">
        <v>109</v>
      </c>
    </row>
    <row r="473" spans="1:60">
      <c r="A473" s="1102" t="s">
        <v>2316</v>
      </c>
      <c r="B473" s="1102" t="s">
        <v>111</v>
      </c>
      <c r="C473" s="1102" t="s">
        <v>2297</v>
      </c>
      <c r="D473" s="1102" t="s">
        <v>113</v>
      </c>
      <c r="E473" s="1102" t="s">
        <v>64</v>
      </c>
      <c r="F473" s="1102">
        <v>0</v>
      </c>
      <c r="G473" s="1102" t="s">
        <v>402</v>
      </c>
      <c r="H473" s="1102" t="s">
        <v>451</v>
      </c>
      <c r="I473" s="1102" t="s">
        <v>822</v>
      </c>
      <c r="J473" s="1102" t="s">
        <v>2298</v>
      </c>
      <c r="M473" s="1102" t="s">
        <v>68</v>
      </c>
      <c r="N473" s="1102">
        <v>46132</v>
      </c>
      <c r="O473" s="1102" t="s">
        <v>70</v>
      </c>
      <c r="P473" s="1102" t="s">
        <v>2299</v>
      </c>
      <c r="Q473" s="1102" t="s">
        <v>1682</v>
      </c>
      <c r="R473" s="1102" t="s">
        <v>73</v>
      </c>
      <c r="S473" s="1102" t="s">
        <v>1808</v>
      </c>
      <c r="T473" s="1102">
        <v>730</v>
      </c>
      <c r="U473" s="1102">
        <v>2970</v>
      </c>
      <c r="V473" s="1102">
        <v>2.1680999999999999</v>
      </c>
      <c r="W473" s="1102">
        <v>90</v>
      </c>
      <c r="X473" s="1102">
        <v>5</v>
      </c>
      <c r="Y473" s="1102" t="s">
        <v>951</v>
      </c>
      <c r="Z473" s="1102" t="s">
        <v>75</v>
      </c>
      <c r="AB473" s="1103">
        <v>46142</v>
      </c>
      <c r="AC473" s="1102">
        <v>18</v>
      </c>
      <c r="AD473" s="1102" t="s">
        <v>2317</v>
      </c>
      <c r="AF473" s="1102" t="s">
        <v>122</v>
      </c>
      <c r="AG473" s="1102" t="s">
        <v>123</v>
      </c>
      <c r="AH473" s="1102" t="s">
        <v>2301</v>
      </c>
      <c r="AI473" s="1103">
        <v>46148</v>
      </c>
      <c r="AJ473" s="1103">
        <v>46148</v>
      </c>
      <c r="AK473" s="1103">
        <v>46148</v>
      </c>
      <c r="AL473" s="1103">
        <v>46199</v>
      </c>
      <c r="AM473" s="1103">
        <v>46210</v>
      </c>
      <c r="AN473" s="1103">
        <v>46211</v>
      </c>
      <c r="AO473" s="1102" t="s">
        <v>402</v>
      </c>
      <c r="AP473" s="1102" t="s">
        <v>2312</v>
      </c>
      <c r="AQ473" s="1102" t="s">
        <v>161</v>
      </c>
      <c r="AR473" s="1102" t="s">
        <v>2313</v>
      </c>
      <c r="AS473" s="1102" t="s">
        <v>2314</v>
      </c>
      <c r="AT473" s="1102" t="s">
        <v>2315</v>
      </c>
      <c r="AU473" s="1102">
        <v>63</v>
      </c>
      <c r="AW473" s="1103">
        <v>46211</v>
      </c>
      <c r="AX473" s="1102" t="s">
        <v>973</v>
      </c>
      <c r="AY473" s="1103">
        <v>46230</v>
      </c>
      <c r="AZ473" s="1102">
        <v>7</v>
      </c>
      <c r="BA473" s="1103">
        <v>46218</v>
      </c>
      <c r="BB473" s="1102">
        <v>2026</v>
      </c>
      <c r="BC473" s="1102">
        <v>7</v>
      </c>
      <c r="BD473" s="1102">
        <v>29</v>
      </c>
      <c r="BE473" s="1102">
        <v>33</v>
      </c>
      <c r="BF473" s="1102">
        <v>594</v>
      </c>
      <c r="BG473" s="1102" t="s">
        <v>94</v>
      </c>
      <c r="BH473" s="1102" t="s">
        <v>109</v>
      </c>
    </row>
    <row r="474" spans="1:60">
      <c r="A474" s="1102" t="s">
        <v>2318</v>
      </c>
      <c r="B474" s="1102" t="s">
        <v>2132</v>
      </c>
      <c r="C474" s="1102" t="s">
        <v>2150</v>
      </c>
      <c r="D474" s="1102" t="s">
        <v>63</v>
      </c>
      <c r="E474" s="1102" t="s">
        <v>64</v>
      </c>
      <c r="F474" s="1102" t="s">
        <v>65</v>
      </c>
      <c r="G474" s="1102" t="s">
        <v>402</v>
      </c>
      <c r="H474" s="1102" t="s">
        <v>67</v>
      </c>
      <c r="I474" s="1102" t="s">
        <v>1395</v>
      </c>
      <c r="J474" s="1102" t="s">
        <v>96</v>
      </c>
      <c r="M474" s="1102" t="s">
        <v>68</v>
      </c>
      <c r="N474" s="1102" t="s">
        <v>68</v>
      </c>
      <c r="O474" s="1102" t="s">
        <v>550</v>
      </c>
      <c r="P474" s="1102" t="s">
        <v>551</v>
      </c>
      <c r="Q474" s="1102" t="s">
        <v>2151</v>
      </c>
      <c r="R474" s="1102" t="s">
        <v>73</v>
      </c>
      <c r="S474" s="1102" t="s">
        <v>2136</v>
      </c>
      <c r="T474" s="1102">
        <v>510</v>
      </c>
      <c r="U474" s="1102">
        <v>3168</v>
      </c>
      <c r="V474" s="1102">
        <v>1.61568</v>
      </c>
      <c r="W474" s="1102">
        <v>88</v>
      </c>
      <c r="X474" s="1102">
        <v>4</v>
      </c>
      <c r="Y474" s="1102" t="s">
        <v>951</v>
      </c>
      <c r="Z474" s="1102" t="s">
        <v>75</v>
      </c>
      <c r="AA474" s="1102" t="s">
        <v>2319</v>
      </c>
      <c r="AB474" s="1103">
        <v>46140</v>
      </c>
      <c r="AC474" s="1102">
        <v>18</v>
      </c>
      <c r="AD474" s="1102" t="s">
        <v>2320</v>
      </c>
      <c r="AF474" s="1102" t="s">
        <v>123</v>
      </c>
      <c r="AG474" s="1102" t="s">
        <v>123</v>
      </c>
      <c r="AH474" s="1102" t="s">
        <v>356</v>
      </c>
      <c r="AI474" s="1103">
        <v>46144</v>
      </c>
      <c r="AJ474" s="1103">
        <v>46145</v>
      </c>
      <c r="AK474" s="1103">
        <v>46145</v>
      </c>
      <c r="AL474" s="1103">
        <v>46181</v>
      </c>
      <c r="AM474" s="1103">
        <v>46183</v>
      </c>
      <c r="AN474" s="1103">
        <v>46183</v>
      </c>
      <c r="AO474" s="1102" t="s">
        <v>402</v>
      </c>
      <c r="AP474" s="1102" t="s">
        <v>2321</v>
      </c>
      <c r="AQ474" s="1102" t="s">
        <v>161</v>
      </c>
      <c r="AR474" s="1102" t="s">
        <v>2322</v>
      </c>
      <c r="AS474" s="1102" t="s">
        <v>2323</v>
      </c>
      <c r="AT474" s="1102" t="s">
        <v>2323</v>
      </c>
      <c r="AU474" s="1102">
        <v>38</v>
      </c>
      <c r="AW474" s="1103">
        <v>46183</v>
      </c>
      <c r="AX474" s="1102" t="s">
        <v>973</v>
      </c>
      <c r="AY474" s="1103">
        <v>46197</v>
      </c>
      <c r="AZ474" s="1102">
        <v>8</v>
      </c>
      <c r="BA474" s="1103">
        <v>46191</v>
      </c>
      <c r="BB474" s="1102">
        <v>2026</v>
      </c>
      <c r="BC474" s="1102">
        <v>6</v>
      </c>
      <c r="BD474" s="1102">
        <v>25</v>
      </c>
      <c r="BE474" s="1102">
        <v>36</v>
      </c>
      <c r="BF474" s="1102">
        <v>792</v>
      </c>
      <c r="BG474" s="1102" t="s">
        <v>85</v>
      </c>
      <c r="BH474" s="1102" t="s">
        <v>109</v>
      </c>
    </row>
    <row r="475" spans="1:60">
      <c r="A475" s="1102" t="s">
        <v>1016</v>
      </c>
      <c r="B475" s="1102" t="s">
        <v>1888</v>
      </c>
      <c r="C475" s="1102" t="s">
        <v>203</v>
      </c>
      <c r="D475" s="1102" t="s">
        <v>63</v>
      </c>
      <c r="E475" s="1102" t="s">
        <v>64</v>
      </c>
      <c r="F475" s="1102" t="s">
        <v>100</v>
      </c>
      <c r="G475" s="1102" t="s">
        <v>402</v>
      </c>
      <c r="H475" s="1102" t="s">
        <v>67</v>
      </c>
      <c r="I475" s="1102" t="s">
        <v>689</v>
      </c>
      <c r="J475" s="1102" t="s">
        <v>96</v>
      </c>
      <c r="M475" s="1102" t="s">
        <v>68</v>
      </c>
      <c r="N475" s="1102">
        <v>46111</v>
      </c>
      <c r="O475" s="1102" t="s">
        <v>70</v>
      </c>
      <c r="P475" s="1102" t="s">
        <v>195</v>
      </c>
      <c r="Q475" s="1102" t="s">
        <v>196</v>
      </c>
      <c r="R475" s="1102" t="s">
        <v>73</v>
      </c>
      <c r="S475" s="1102" t="s">
        <v>967</v>
      </c>
      <c r="T475" s="1102">
        <v>450</v>
      </c>
      <c r="U475" s="1102">
        <v>3744</v>
      </c>
      <c r="V475" s="1102">
        <v>1.6848000000000001</v>
      </c>
      <c r="W475" s="1102">
        <v>104</v>
      </c>
      <c r="X475" s="1102">
        <v>4</v>
      </c>
      <c r="Y475" s="1102" t="s">
        <v>951</v>
      </c>
      <c r="Z475" s="1102" t="s">
        <v>75</v>
      </c>
      <c r="AA475" s="1102" t="s">
        <v>2038</v>
      </c>
      <c r="AB475" s="1103">
        <v>46139</v>
      </c>
      <c r="AC475" s="1102">
        <v>18</v>
      </c>
      <c r="AD475" s="1102" t="s">
        <v>2324</v>
      </c>
      <c r="AF475" s="1102" t="s">
        <v>1891</v>
      </c>
      <c r="AG475" s="1102" t="s">
        <v>123</v>
      </c>
      <c r="AH475" s="1102" t="s">
        <v>105</v>
      </c>
      <c r="AI475" s="1103">
        <v>46144</v>
      </c>
      <c r="AJ475" s="1103">
        <v>46147</v>
      </c>
      <c r="AK475" s="1103">
        <v>46147</v>
      </c>
      <c r="AL475" s="1103">
        <v>46186</v>
      </c>
      <c r="AM475" s="1103">
        <v>46200</v>
      </c>
      <c r="AN475" s="1103">
        <v>46201</v>
      </c>
      <c r="AO475" s="1102" t="s">
        <v>402</v>
      </c>
      <c r="AP475" s="1102" t="s">
        <v>2302</v>
      </c>
      <c r="AQ475" s="1102" t="s">
        <v>161</v>
      </c>
      <c r="AR475" s="1102" t="s">
        <v>2325</v>
      </c>
      <c r="AS475" s="1102" t="s">
        <v>2326</v>
      </c>
      <c r="AT475" s="1102" t="s">
        <v>2326</v>
      </c>
      <c r="AU475" s="1102">
        <v>54</v>
      </c>
      <c r="AW475" s="1103">
        <v>46201</v>
      </c>
      <c r="AX475" s="1102" t="s">
        <v>973</v>
      </c>
      <c r="AY475" s="1103">
        <v>46212</v>
      </c>
      <c r="AZ475" s="1102">
        <v>7</v>
      </c>
      <c r="BA475" s="1103">
        <v>46208</v>
      </c>
      <c r="BB475" s="1102">
        <v>2026</v>
      </c>
      <c r="BC475" s="1102">
        <v>7</v>
      </c>
      <c r="BD475" s="1102">
        <v>27</v>
      </c>
      <c r="BE475" s="1102">
        <v>36</v>
      </c>
      <c r="BF475" s="1102">
        <v>936</v>
      </c>
      <c r="BG475" s="1102" t="s">
        <v>85</v>
      </c>
      <c r="BH475" s="1102" t="s">
        <v>109</v>
      </c>
    </row>
    <row r="476" spans="1:60">
      <c r="A476" s="1102" t="s">
        <v>2327</v>
      </c>
      <c r="B476" s="1102" t="s">
        <v>2132</v>
      </c>
      <c r="C476" s="1102" t="s">
        <v>2150</v>
      </c>
      <c r="D476" s="1102" t="s">
        <v>63</v>
      </c>
      <c r="E476" s="1102" t="s">
        <v>64</v>
      </c>
      <c r="F476" s="1102" t="s">
        <v>100</v>
      </c>
      <c r="G476" s="1102" t="s">
        <v>402</v>
      </c>
      <c r="H476" s="1102" t="s">
        <v>67</v>
      </c>
      <c r="I476" s="1102" t="s">
        <v>882</v>
      </c>
      <c r="J476" s="1102" t="s">
        <v>96</v>
      </c>
      <c r="M476" s="1102" t="s">
        <v>68</v>
      </c>
      <c r="N476" s="1102" t="s">
        <v>68</v>
      </c>
      <c r="O476" s="1102" t="s">
        <v>550</v>
      </c>
      <c r="P476" s="1102" t="s">
        <v>551</v>
      </c>
      <c r="Q476" s="1102" t="s">
        <v>2151</v>
      </c>
      <c r="R476" s="1102" t="s">
        <v>73</v>
      </c>
      <c r="S476" s="1102" t="s">
        <v>2136</v>
      </c>
      <c r="T476" s="1102">
        <v>510</v>
      </c>
      <c r="U476" s="1102">
        <v>1584</v>
      </c>
      <c r="V476" s="1102">
        <v>0.80784</v>
      </c>
      <c r="W476" s="1102">
        <v>44</v>
      </c>
      <c r="X476" s="1102">
        <v>2</v>
      </c>
      <c r="Y476" s="1102" t="s">
        <v>951</v>
      </c>
      <c r="Z476" s="1102" t="s">
        <v>75</v>
      </c>
      <c r="AA476" s="1102" t="s">
        <v>2328</v>
      </c>
      <c r="AB476" s="1103">
        <v>46139</v>
      </c>
      <c r="AC476" s="1102">
        <v>18</v>
      </c>
      <c r="AD476" s="1102" t="s">
        <v>2329</v>
      </c>
      <c r="AF476" s="1102" t="s">
        <v>123</v>
      </c>
      <c r="AG476" s="1102" t="s">
        <v>123</v>
      </c>
      <c r="AH476" s="1102" t="s">
        <v>105</v>
      </c>
      <c r="AI476" s="1103">
        <v>46144</v>
      </c>
      <c r="AJ476" s="1103">
        <v>46147</v>
      </c>
      <c r="AK476" s="1103">
        <v>46147</v>
      </c>
      <c r="AL476" s="1103">
        <v>46186</v>
      </c>
      <c r="AM476" s="1103">
        <v>46200</v>
      </c>
      <c r="AN476" s="1103">
        <v>46201</v>
      </c>
      <c r="AO476" s="1102" t="s">
        <v>402</v>
      </c>
      <c r="AP476" s="1102" t="s">
        <v>2302</v>
      </c>
      <c r="AQ476" s="1102" t="s">
        <v>161</v>
      </c>
      <c r="AR476" s="1102" t="s">
        <v>2330</v>
      </c>
      <c r="AS476" s="1102" t="s">
        <v>2331</v>
      </c>
      <c r="AT476" s="1102" t="s">
        <v>2331</v>
      </c>
      <c r="AU476" s="1102">
        <v>54</v>
      </c>
      <c r="AW476" s="1103">
        <v>46201</v>
      </c>
      <c r="AX476" s="1102" t="s">
        <v>973</v>
      </c>
      <c r="AY476" s="1103">
        <v>46212</v>
      </c>
      <c r="AZ476" s="1102">
        <v>7</v>
      </c>
      <c r="BA476" s="1103">
        <v>46208</v>
      </c>
      <c r="BB476" s="1102">
        <v>2026</v>
      </c>
      <c r="BC476" s="1102">
        <v>7</v>
      </c>
      <c r="BD476" s="1102">
        <v>27</v>
      </c>
      <c r="BE476" s="1102">
        <v>36</v>
      </c>
      <c r="BF476" s="1102">
        <v>792</v>
      </c>
      <c r="BG476" s="1102" t="s">
        <v>85</v>
      </c>
      <c r="BH476" s="1102" t="s">
        <v>109</v>
      </c>
    </row>
    <row r="477" spans="1:60">
      <c r="A477" s="1102" t="s">
        <v>2332</v>
      </c>
      <c r="B477" s="1102" t="s">
        <v>2132</v>
      </c>
      <c r="C477" s="1102" t="s">
        <v>2133</v>
      </c>
      <c r="D477" s="1102" t="s">
        <v>63</v>
      </c>
      <c r="E477" s="1102" t="s">
        <v>64</v>
      </c>
      <c r="F477" s="1102" t="s">
        <v>100</v>
      </c>
      <c r="G477" s="1102" t="s">
        <v>402</v>
      </c>
      <c r="H477" s="1102" t="s">
        <v>67</v>
      </c>
      <c r="I477" s="1102" t="s">
        <v>1395</v>
      </c>
      <c r="J477" s="1102" t="s">
        <v>96</v>
      </c>
      <c r="M477" s="1102" t="s">
        <v>68</v>
      </c>
      <c r="N477" s="1102" t="s">
        <v>68</v>
      </c>
      <c r="O477" s="1102" t="s">
        <v>550</v>
      </c>
      <c r="P477" s="1102" t="s">
        <v>2134</v>
      </c>
      <c r="Q477" s="1102" t="s">
        <v>2135</v>
      </c>
      <c r="R477" s="1102" t="s">
        <v>73</v>
      </c>
      <c r="S477" s="1102" t="s">
        <v>2136</v>
      </c>
      <c r="T477" s="1102">
        <v>515</v>
      </c>
      <c r="U477" s="1102">
        <v>1584</v>
      </c>
      <c r="V477" s="1102">
        <v>0.81576000000000004</v>
      </c>
      <c r="W477" s="1102">
        <v>44</v>
      </c>
      <c r="X477" s="1102">
        <v>2</v>
      </c>
      <c r="Y477" s="1102" t="s">
        <v>951</v>
      </c>
      <c r="Z477" s="1102" t="s">
        <v>75</v>
      </c>
      <c r="AA477" s="1102" t="s">
        <v>2328</v>
      </c>
      <c r="AB477" s="1103">
        <v>46139</v>
      </c>
      <c r="AC477" s="1102">
        <v>18</v>
      </c>
      <c r="AD477" s="1102" t="s">
        <v>2333</v>
      </c>
      <c r="AF477" s="1102" t="s">
        <v>123</v>
      </c>
      <c r="AG477" s="1102" t="s">
        <v>123</v>
      </c>
      <c r="AH477" s="1102" t="s">
        <v>105</v>
      </c>
      <c r="AI477" s="1103">
        <v>46144</v>
      </c>
      <c r="AJ477" s="1103">
        <v>46147</v>
      </c>
      <c r="AK477" s="1103">
        <v>46147</v>
      </c>
      <c r="AL477" s="1103">
        <v>46186</v>
      </c>
      <c r="AM477" s="1103">
        <v>46200</v>
      </c>
      <c r="AN477" s="1103">
        <v>46201</v>
      </c>
      <c r="AO477" s="1102" t="s">
        <v>402</v>
      </c>
      <c r="AP477" s="1102" t="s">
        <v>2302</v>
      </c>
      <c r="AQ477" s="1102" t="s">
        <v>161</v>
      </c>
      <c r="AR477" s="1102" t="s">
        <v>2330</v>
      </c>
      <c r="AS477" s="1102" t="s">
        <v>2331</v>
      </c>
      <c r="AT477" s="1102" t="s">
        <v>2331</v>
      </c>
      <c r="AU477" s="1102">
        <v>54</v>
      </c>
      <c r="AW477" s="1103">
        <v>46201</v>
      </c>
      <c r="AX477" s="1102" t="s">
        <v>973</v>
      </c>
      <c r="AY477" s="1103">
        <v>46212</v>
      </c>
      <c r="AZ477" s="1102">
        <v>7</v>
      </c>
      <c r="BA477" s="1103">
        <v>46208</v>
      </c>
      <c r="BB477" s="1102">
        <v>2026</v>
      </c>
      <c r="BC477" s="1102">
        <v>7</v>
      </c>
      <c r="BD477" s="1102">
        <v>27</v>
      </c>
      <c r="BE477" s="1102">
        <v>36</v>
      </c>
      <c r="BF477" s="1102">
        <v>792</v>
      </c>
      <c r="BG477" s="1102" t="s">
        <v>85</v>
      </c>
      <c r="BH477" s="1102" t="s">
        <v>109</v>
      </c>
    </row>
    <row r="478" spans="1:60">
      <c r="A478" s="1102" t="s">
        <v>2334</v>
      </c>
      <c r="B478" s="1102" t="s">
        <v>111</v>
      </c>
      <c r="C478" s="1102" t="s">
        <v>2190</v>
      </c>
      <c r="D478" s="1102" t="s">
        <v>63</v>
      </c>
      <c r="E478" s="1102" t="s">
        <v>64</v>
      </c>
      <c r="F478" s="1102" t="s">
        <v>100</v>
      </c>
      <c r="G478" s="1102" t="s">
        <v>402</v>
      </c>
      <c r="H478" s="1102" t="s">
        <v>67</v>
      </c>
      <c r="I478" s="1102" t="s">
        <v>689</v>
      </c>
      <c r="J478" s="1102" t="s">
        <v>96</v>
      </c>
      <c r="M478" s="1102" t="s">
        <v>68</v>
      </c>
      <c r="N478" s="1102">
        <v>46139</v>
      </c>
      <c r="O478" s="1102" t="s">
        <v>473</v>
      </c>
      <c r="P478" s="1102" t="s">
        <v>474</v>
      </c>
      <c r="Q478" s="1102" t="s">
        <v>1319</v>
      </c>
      <c r="R478" s="1102" t="s">
        <v>73</v>
      </c>
      <c r="S478" s="1102" t="s">
        <v>967</v>
      </c>
      <c r="T478" s="1102">
        <v>460</v>
      </c>
      <c r="U478" s="1102">
        <v>1728</v>
      </c>
      <c r="V478" s="1102">
        <v>0.79488000000000003</v>
      </c>
      <c r="W478" s="1102">
        <v>48</v>
      </c>
      <c r="X478" s="1102">
        <v>2</v>
      </c>
      <c r="Y478" s="1102" t="s">
        <v>951</v>
      </c>
      <c r="Z478" s="1102" t="s">
        <v>75</v>
      </c>
      <c r="AA478" s="1102" t="s">
        <v>2183</v>
      </c>
      <c r="AB478" s="1103">
        <v>46138</v>
      </c>
      <c r="AC478" s="1102">
        <v>17</v>
      </c>
      <c r="AD478" s="1102" t="s">
        <v>2335</v>
      </c>
      <c r="AF478" s="1102" t="s">
        <v>123</v>
      </c>
      <c r="AG478" s="1102" t="s">
        <v>123</v>
      </c>
      <c r="AH478" s="1102" t="s">
        <v>105</v>
      </c>
      <c r="AI478" s="1103">
        <v>46144</v>
      </c>
      <c r="AJ478" s="1103">
        <v>46147</v>
      </c>
      <c r="AK478" s="1103">
        <v>46147</v>
      </c>
      <c r="AL478" s="1103">
        <v>46186</v>
      </c>
      <c r="AM478" s="1103">
        <v>46200</v>
      </c>
      <c r="AN478" s="1103">
        <v>46201</v>
      </c>
      <c r="AO478" s="1102" t="s">
        <v>402</v>
      </c>
      <c r="AP478" s="1102" t="s">
        <v>2302</v>
      </c>
      <c r="AQ478" s="1102" t="s">
        <v>161</v>
      </c>
      <c r="AR478" s="1102" t="s">
        <v>2336</v>
      </c>
      <c r="AT478" s="1102" t="s">
        <v>2337</v>
      </c>
      <c r="AU478" s="1102">
        <v>54</v>
      </c>
      <c r="AW478" s="1103">
        <v>46201</v>
      </c>
      <c r="AX478" s="1102" t="s">
        <v>973</v>
      </c>
      <c r="AY478" s="1103">
        <v>46212</v>
      </c>
      <c r="AZ478" s="1102">
        <v>7</v>
      </c>
      <c r="BA478" s="1103">
        <v>46208</v>
      </c>
      <c r="BB478" s="1102">
        <v>2026</v>
      </c>
      <c r="BC478" s="1102">
        <v>7</v>
      </c>
      <c r="BD478" s="1102">
        <v>27</v>
      </c>
      <c r="BE478" s="1102">
        <v>36</v>
      </c>
      <c r="BF478" s="1102">
        <v>864</v>
      </c>
      <c r="BG478" s="1102" t="s">
        <v>85</v>
      </c>
      <c r="BH478" s="1102" t="s">
        <v>109</v>
      </c>
    </row>
    <row r="479" spans="1:60">
      <c r="A479" s="1102" t="s">
        <v>2338</v>
      </c>
      <c r="B479" s="1102" t="s">
        <v>111</v>
      </c>
      <c r="C479" s="1102" t="s">
        <v>2190</v>
      </c>
      <c r="D479" s="1102" t="s">
        <v>63</v>
      </c>
      <c r="E479" s="1102" t="s">
        <v>64</v>
      </c>
      <c r="F479" s="1102" t="s">
        <v>100</v>
      </c>
      <c r="G479" s="1102" t="s">
        <v>402</v>
      </c>
      <c r="H479" s="1102" t="s">
        <v>67</v>
      </c>
      <c r="I479" s="1102" t="s">
        <v>689</v>
      </c>
      <c r="J479" s="1102" t="s">
        <v>96</v>
      </c>
      <c r="M479" s="1102" t="s">
        <v>68</v>
      </c>
      <c r="N479" s="1102">
        <v>46139</v>
      </c>
      <c r="O479" s="1102" t="s">
        <v>473</v>
      </c>
      <c r="P479" s="1102" t="s">
        <v>474</v>
      </c>
      <c r="Q479" s="1102" t="s">
        <v>1319</v>
      </c>
      <c r="R479" s="1102" t="s">
        <v>73</v>
      </c>
      <c r="S479" s="1102" t="s">
        <v>967</v>
      </c>
      <c r="T479" s="1102">
        <v>460</v>
      </c>
      <c r="U479" s="1102">
        <v>1728</v>
      </c>
      <c r="V479" s="1102">
        <v>0.79488000000000003</v>
      </c>
      <c r="W479" s="1102">
        <v>48</v>
      </c>
      <c r="X479" s="1102">
        <v>2</v>
      </c>
      <c r="Y479" s="1102" t="s">
        <v>951</v>
      </c>
      <c r="Z479" s="1102" t="s">
        <v>75</v>
      </c>
      <c r="AA479" s="1102" t="s">
        <v>2183</v>
      </c>
      <c r="AB479" s="1103">
        <v>46138</v>
      </c>
      <c r="AC479" s="1102">
        <v>17</v>
      </c>
      <c r="AD479" s="1102" t="s">
        <v>2339</v>
      </c>
      <c r="AF479" s="1102" t="s">
        <v>123</v>
      </c>
      <c r="AG479" s="1102" t="s">
        <v>123</v>
      </c>
      <c r="AH479" s="1102" t="s">
        <v>105</v>
      </c>
      <c r="AI479" s="1103">
        <v>46144</v>
      </c>
      <c r="AJ479" s="1103">
        <v>46147</v>
      </c>
      <c r="AK479" s="1103">
        <v>46147</v>
      </c>
      <c r="AL479" s="1103">
        <v>46186</v>
      </c>
      <c r="AM479" s="1103">
        <v>46200</v>
      </c>
      <c r="AN479" s="1103">
        <v>46201</v>
      </c>
      <c r="AO479" s="1102" t="s">
        <v>402</v>
      </c>
      <c r="AP479" s="1102" t="s">
        <v>2302</v>
      </c>
      <c r="AQ479" s="1102" t="s">
        <v>161</v>
      </c>
      <c r="AR479" s="1102" t="s">
        <v>2336</v>
      </c>
      <c r="AT479" s="1102" t="s">
        <v>2337</v>
      </c>
      <c r="AU479" s="1102">
        <v>54</v>
      </c>
      <c r="AW479" s="1103">
        <v>46201</v>
      </c>
      <c r="AX479" s="1102" t="s">
        <v>973</v>
      </c>
      <c r="AY479" s="1103">
        <v>46212</v>
      </c>
      <c r="AZ479" s="1102">
        <v>7</v>
      </c>
      <c r="BA479" s="1103">
        <v>46208</v>
      </c>
      <c r="BB479" s="1102">
        <v>2026</v>
      </c>
      <c r="BC479" s="1102">
        <v>7</v>
      </c>
      <c r="BD479" s="1102">
        <v>27</v>
      </c>
      <c r="BE479" s="1102">
        <v>36</v>
      </c>
      <c r="BF479" s="1102">
        <v>864</v>
      </c>
      <c r="BG479" s="1102" t="s">
        <v>85</v>
      </c>
      <c r="BH479" s="1102" t="s">
        <v>109</v>
      </c>
    </row>
    <row r="480" spans="1:60">
      <c r="A480" s="1102" t="s">
        <v>2340</v>
      </c>
      <c r="B480" s="1102" t="s">
        <v>111</v>
      </c>
      <c r="C480" s="1102" t="s">
        <v>2190</v>
      </c>
      <c r="D480" s="1102" t="s">
        <v>63</v>
      </c>
      <c r="E480" s="1102" t="s">
        <v>64</v>
      </c>
      <c r="F480" s="1102" t="s">
        <v>100</v>
      </c>
      <c r="G480" s="1102" t="s">
        <v>402</v>
      </c>
      <c r="H480" s="1102" t="s">
        <v>67</v>
      </c>
      <c r="I480" s="1102" t="s">
        <v>689</v>
      </c>
      <c r="J480" s="1102" t="s">
        <v>96</v>
      </c>
      <c r="M480" s="1102" t="s">
        <v>68</v>
      </c>
      <c r="N480" s="1102">
        <v>46139</v>
      </c>
      <c r="O480" s="1102" t="s">
        <v>473</v>
      </c>
      <c r="P480" s="1102" t="s">
        <v>474</v>
      </c>
      <c r="Q480" s="1102" t="s">
        <v>1319</v>
      </c>
      <c r="R480" s="1102" t="s">
        <v>73</v>
      </c>
      <c r="S480" s="1102" t="s">
        <v>967</v>
      </c>
      <c r="T480" s="1102">
        <v>460</v>
      </c>
      <c r="U480" s="1102">
        <v>2592</v>
      </c>
      <c r="V480" s="1102">
        <v>1.19232</v>
      </c>
      <c r="W480" s="1102">
        <v>72</v>
      </c>
      <c r="X480" s="1102">
        <v>3</v>
      </c>
      <c r="Y480" s="1102" t="s">
        <v>951</v>
      </c>
      <c r="Z480" s="1102" t="s">
        <v>75</v>
      </c>
      <c r="AB480" s="1103">
        <v>46138</v>
      </c>
      <c r="AC480" s="1102">
        <v>17</v>
      </c>
      <c r="AD480" s="1102" t="s">
        <v>2341</v>
      </c>
      <c r="AF480" s="1102" t="s">
        <v>123</v>
      </c>
      <c r="AG480" s="1102" t="s">
        <v>123</v>
      </c>
      <c r="AH480" s="1102" t="s">
        <v>105</v>
      </c>
      <c r="AI480" s="1103">
        <v>46144</v>
      </c>
      <c r="AJ480" s="1103">
        <v>46147</v>
      </c>
      <c r="AK480" s="1103">
        <v>46147</v>
      </c>
      <c r="AL480" s="1103">
        <v>46186</v>
      </c>
      <c r="AM480" s="1103">
        <v>46200</v>
      </c>
      <c r="AN480" s="1103">
        <v>46201</v>
      </c>
      <c r="AO480" s="1102" t="s">
        <v>402</v>
      </c>
      <c r="AP480" s="1102" t="s">
        <v>2302</v>
      </c>
      <c r="AQ480" s="1102" t="s">
        <v>161</v>
      </c>
      <c r="AR480" s="1102" t="s">
        <v>2336</v>
      </c>
      <c r="AT480" s="1102" t="s">
        <v>2337</v>
      </c>
      <c r="AU480" s="1102">
        <v>54</v>
      </c>
      <c r="AW480" s="1103">
        <v>46201</v>
      </c>
      <c r="AX480" s="1102" t="s">
        <v>973</v>
      </c>
      <c r="AY480" s="1103">
        <v>46212</v>
      </c>
      <c r="AZ480" s="1102">
        <v>7</v>
      </c>
      <c r="BA480" s="1103">
        <v>46208</v>
      </c>
      <c r="BB480" s="1102">
        <v>2026</v>
      </c>
      <c r="BC480" s="1102">
        <v>7</v>
      </c>
      <c r="BD480" s="1102">
        <v>27</v>
      </c>
      <c r="BE480" s="1102">
        <v>36</v>
      </c>
      <c r="BF480" s="1102">
        <v>864</v>
      </c>
      <c r="BG480" s="1102" t="s">
        <v>85</v>
      </c>
      <c r="BH480" s="1102" t="s">
        <v>109</v>
      </c>
    </row>
    <row r="481" spans="1:60">
      <c r="A481" s="1102" t="s">
        <v>2342</v>
      </c>
      <c r="B481" s="1102" t="s">
        <v>2132</v>
      </c>
      <c r="C481" s="1102" t="s">
        <v>2150</v>
      </c>
      <c r="D481" s="1102" t="s">
        <v>63</v>
      </c>
      <c r="E481" s="1102" t="s">
        <v>64</v>
      </c>
      <c r="F481" s="1102" t="s">
        <v>65</v>
      </c>
      <c r="G481" s="1102" t="s">
        <v>402</v>
      </c>
      <c r="H481" s="1102" t="s">
        <v>67</v>
      </c>
      <c r="I481" s="1102" t="s">
        <v>882</v>
      </c>
      <c r="J481" s="1102" t="s">
        <v>96</v>
      </c>
      <c r="M481" s="1102" t="s">
        <v>68</v>
      </c>
      <c r="N481" s="1102" t="s">
        <v>68</v>
      </c>
      <c r="O481" s="1102" t="s">
        <v>550</v>
      </c>
      <c r="P481" s="1102" t="s">
        <v>551</v>
      </c>
      <c r="Q481" s="1102" t="s">
        <v>2151</v>
      </c>
      <c r="R481" s="1102" t="s">
        <v>73</v>
      </c>
      <c r="S481" s="1102" t="s">
        <v>2136</v>
      </c>
      <c r="T481" s="1102">
        <v>510</v>
      </c>
      <c r="U481" s="1102">
        <v>1584</v>
      </c>
      <c r="V481" s="1102">
        <v>0.80784</v>
      </c>
      <c r="W481" s="1102">
        <v>44</v>
      </c>
      <c r="X481" s="1102">
        <v>2</v>
      </c>
      <c r="Y481" s="1102" t="s">
        <v>951</v>
      </c>
      <c r="Z481" s="1102" t="s">
        <v>75</v>
      </c>
      <c r="AA481" s="1102" t="s">
        <v>2343</v>
      </c>
      <c r="AB481" s="1103">
        <v>46141</v>
      </c>
      <c r="AC481" s="1102">
        <v>18</v>
      </c>
      <c r="AD481" s="1102" t="s">
        <v>2344</v>
      </c>
      <c r="AF481" s="1102" t="s">
        <v>123</v>
      </c>
      <c r="AG481" s="1102" t="s">
        <v>123</v>
      </c>
      <c r="AH481" s="1102" t="s">
        <v>78</v>
      </c>
      <c r="AI481" s="1103">
        <v>46147</v>
      </c>
      <c r="AJ481" s="1103">
        <v>46147</v>
      </c>
      <c r="AK481" s="1103">
        <v>46147</v>
      </c>
      <c r="AL481" s="1103">
        <v>46189</v>
      </c>
      <c r="AM481" s="1103">
        <v>46196</v>
      </c>
      <c r="AN481" s="1103">
        <v>46196</v>
      </c>
      <c r="AO481" s="1102" t="s">
        <v>402</v>
      </c>
      <c r="AP481" s="1102" t="s">
        <v>2345</v>
      </c>
      <c r="AQ481" s="1102" t="s">
        <v>80</v>
      </c>
      <c r="AR481" s="1102" t="s">
        <v>2346</v>
      </c>
      <c r="AS481" s="1102" t="s">
        <v>2347</v>
      </c>
      <c r="AT481" s="1102" t="s">
        <v>2347</v>
      </c>
      <c r="AU481" s="1102">
        <v>49</v>
      </c>
      <c r="AW481" s="1103">
        <v>46196</v>
      </c>
      <c r="AX481" s="1102" t="s">
        <v>973</v>
      </c>
      <c r="AY481" s="1103">
        <v>46208</v>
      </c>
      <c r="AZ481" s="1102">
        <v>8</v>
      </c>
      <c r="BA481" s="1103">
        <v>46204</v>
      </c>
      <c r="BB481" s="1102">
        <v>2026</v>
      </c>
      <c r="BC481" s="1102">
        <v>7</v>
      </c>
      <c r="BD481" s="1102">
        <v>27</v>
      </c>
      <c r="BE481" s="1102">
        <v>36</v>
      </c>
      <c r="BF481" s="1102">
        <v>792</v>
      </c>
      <c r="BG481" s="1102" t="s">
        <v>85</v>
      </c>
      <c r="BH481" s="1102" t="s">
        <v>86</v>
      </c>
    </row>
    <row r="482" spans="1:60">
      <c r="A482" s="1102" t="s">
        <v>2348</v>
      </c>
      <c r="B482" s="1102" t="s">
        <v>2132</v>
      </c>
      <c r="C482" s="1102" t="s">
        <v>2133</v>
      </c>
      <c r="D482" s="1102" t="s">
        <v>63</v>
      </c>
      <c r="E482" s="1102" t="s">
        <v>64</v>
      </c>
      <c r="F482" s="1102" t="s">
        <v>310</v>
      </c>
      <c r="G482" s="1102" t="s">
        <v>402</v>
      </c>
      <c r="H482" s="1102" t="s">
        <v>311</v>
      </c>
      <c r="I482" s="1102" t="s">
        <v>822</v>
      </c>
      <c r="J482" s="1102" t="s">
        <v>96</v>
      </c>
      <c r="M482" s="1102" t="s">
        <v>68</v>
      </c>
      <c r="N482" s="1102" t="s">
        <v>68</v>
      </c>
      <c r="O482" s="1102" t="s">
        <v>550</v>
      </c>
      <c r="P482" s="1102" t="s">
        <v>2134</v>
      </c>
      <c r="Q482" s="1102" t="s">
        <v>2135</v>
      </c>
      <c r="R482" s="1102" t="s">
        <v>73</v>
      </c>
      <c r="S482" s="1102" t="s">
        <v>2136</v>
      </c>
      <c r="T482" s="1102">
        <v>515</v>
      </c>
      <c r="U482" s="1102">
        <v>792</v>
      </c>
      <c r="V482" s="1102">
        <v>0.40788000000000002</v>
      </c>
      <c r="W482" s="1102">
        <v>22</v>
      </c>
      <c r="X482" s="1102">
        <v>1</v>
      </c>
      <c r="Y482" s="1102" t="s">
        <v>951</v>
      </c>
      <c r="Z482" s="1102" t="s">
        <v>75</v>
      </c>
      <c r="AA482" s="1102" t="s">
        <v>2349</v>
      </c>
      <c r="AB482" s="1103">
        <v>46138</v>
      </c>
      <c r="AC482" s="1102">
        <v>17</v>
      </c>
      <c r="AD482" s="1102" t="s">
        <v>2350</v>
      </c>
      <c r="AF482" s="1102" t="s">
        <v>123</v>
      </c>
      <c r="AG482" s="1102" t="s">
        <v>123</v>
      </c>
      <c r="AH482" s="1102" t="s">
        <v>314</v>
      </c>
      <c r="AI482" s="1103">
        <v>46143</v>
      </c>
      <c r="AJ482" s="1103">
        <v>46146</v>
      </c>
      <c r="AK482" s="1103">
        <v>46146</v>
      </c>
      <c r="AL482" s="1103">
        <v>46190</v>
      </c>
      <c r="AM482" s="1103">
        <v>46197</v>
      </c>
      <c r="AN482" s="1103">
        <v>46198</v>
      </c>
      <c r="AO482" s="1102" t="s">
        <v>402</v>
      </c>
      <c r="AP482" s="1102" t="s">
        <v>2351</v>
      </c>
      <c r="AQ482" s="1102" t="s">
        <v>80</v>
      </c>
      <c r="AR482" s="1102" t="s">
        <v>2352</v>
      </c>
      <c r="AS482" s="1102" t="s">
        <v>2353</v>
      </c>
      <c r="AT482" s="1102" t="s">
        <v>2353</v>
      </c>
      <c r="AU482" s="1102">
        <v>52</v>
      </c>
      <c r="AW482" s="1103">
        <v>46198</v>
      </c>
      <c r="AX482" s="1102" t="s">
        <v>973</v>
      </c>
      <c r="AY482" s="1103">
        <v>46211</v>
      </c>
      <c r="AZ482" s="1102">
        <v>13</v>
      </c>
      <c r="BA482" s="1103">
        <v>46211</v>
      </c>
      <c r="BB482" s="1102">
        <v>2026</v>
      </c>
      <c r="BC482" s="1102">
        <v>7</v>
      </c>
      <c r="BD482" s="1102">
        <v>28</v>
      </c>
      <c r="BE482" s="1102">
        <v>36</v>
      </c>
      <c r="BF482" s="1102">
        <v>792</v>
      </c>
      <c r="BG482" s="1102" t="s">
        <v>85</v>
      </c>
      <c r="BH482" s="1102" t="s">
        <v>86</v>
      </c>
    </row>
    <row r="483" spans="1:60">
      <c r="A483" s="1102" t="s">
        <v>2354</v>
      </c>
      <c r="B483" s="1102" t="s">
        <v>2132</v>
      </c>
      <c r="C483" s="1102" t="s">
        <v>2150</v>
      </c>
      <c r="D483" s="1102" t="s">
        <v>63</v>
      </c>
      <c r="E483" s="1102" t="s">
        <v>64</v>
      </c>
      <c r="F483" s="1102" t="s">
        <v>310</v>
      </c>
      <c r="G483" s="1102" t="s">
        <v>402</v>
      </c>
      <c r="H483" s="1102" t="s">
        <v>311</v>
      </c>
      <c r="I483" s="1102" t="s">
        <v>822</v>
      </c>
      <c r="J483" s="1102" t="s">
        <v>96</v>
      </c>
      <c r="M483" s="1102" t="s">
        <v>68</v>
      </c>
      <c r="N483" s="1102" t="s">
        <v>68</v>
      </c>
      <c r="O483" s="1102" t="s">
        <v>550</v>
      </c>
      <c r="P483" s="1102" t="s">
        <v>551</v>
      </c>
      <c r="Q483" s="1102" t="s">
        <v>2151</v>
      </c>
      <c r="R483" s="1102" t="s">
        <v>73</v>
      </c>
      <c r="S483" s="1102" t="s">
        <v>2136</v>
      </c>
      <c r="T483" s="1102">
        <v>510</v>
      </c>
      <c r="U483" s="1102">
        <v>2376</v>
      </c>
      <c r="V483" s="1102">
        <v>1.2117599999999999</v>
      </c>
      <c r="W483" s="1102">
        <v>66</v>
      </c>
      <c r="X483" s="1102">
        <v>3</v>
      </c>
      <c r="Y483" s="1102" t="s">
        <v>951</v>
      </c>
      <c r="Z483" s="1102" t="s">
        <v>75</v>
      </c>
      <c r="AA483" s="1102" t="s">
        <v>2349</v>
      </c>
      <c r="AB483" s="1103">
        <v>46138</v>
      </c>
      <c r="AC483" s="1102">
        <v>17</v>
      </c>
      <c r="AD483" s="1102" t="s">
        <v>2355</v>
      </c>
      <c r="AF483" s="1102" t="s">
        <v>123</v>
      </c>
      <c r="AG483" s="1102" t="s">
        <v>123</v>
      </c>
      <c r="AH483" s="1102" t="s">
        <v>314</v>
      </c>
      <c r="AI483" s="1103">
        <v>46143</v>
      </c>
      <c r="AJ483" s="1103">
        <v>46146</v>
      </c>
      <c r="AK483" s="1103">
        <v>46146</v>
      </c>
      <c r="AL483" s="1103">
        <v>46190</v>
      </c>
      <c r="AM483" s="1103">
        <v>46197</v>
      </c>
      <c r="AN483" s="1103">
        <v>46198</v>
      </c>
      <c r="AO483" s="1102" t="s">
        <v>402</v>
      </c>
      <c r="AP483" s="1102" t="s">
        <v>2351</v>
      </c>
      <c r="AQ483" s="1102" t="s">
        <v>80</v>
      </c>
      <c r="AR483" s="1102" t="s">
        <v>2352</v>
      </c>
      <c r="AS483" s="1102" t="s">
        <v>2353</v>
      </c>
      <c r="AT483" s="1102" t="s">
        <v>2353</v>
      </c>
      <c r="AU483" s="1102">
        <v>52</v>
      </c>
      <c r="AW483" s="1103">
        <v>46198</v>
      </c>
      <c r="AX483" s="1102" t="s">
        <v>973</v>
      </c>
      <c r="AY483" s="1103">
        <v>46211</v>
      </c>
      <c r="AZ483" s="1102">
        <v>13</v>
      </c>
      <c r="BA483" s="1103">
        <v>46211</v>
      </c>
      <c r="BB483" s="1102">
        <v>2026</v>
      </c>
      <c r="BC483" s="1102">
        <v>7</v>
      </c>
      <c r="BD483" s="1102">
        <v>28</v>
      </c>
      <c r="BE483" s="1102">
        <v>36</v>
      </c>
      <c r="BF483" s="1102">
        <v>792</v>
      </c>
      <c r="BG483" s="1102" t="s">
        <v>85</v>
      </c>
      <c r="BH483" s="1102" t="s">
        <v>86</v>
      </c>
    </row>
    <row r="484" spans="1:60">
      <c r="A484" s="1102" t="s">
        <v>2356</v>
      </c>
      <c r="B484" s="1102" t="s">
        <v>2132</v>
      </c>
      <c r="C484" s="1102" t="s">
        <v>2150</v>
      </c>
      <c r="D484" s="1102" t="s">
        <v>63</v>
      </c>
      <c r="E484" s="1102" t="s">
        <v>64</v>
      </c>
      <c r="F484" s="1102" t="s">
        <v>310</v>
      </c>
      <c r="G484" s="1102" t="s">
        <v>402</v>
      </c>
      <c r="H484" s="1102" t="s">
        <v>311</v>
      </c>
      <c r="I484" s="1102" t="s">
        <v>1395</v>
      </c>
      <c r="J484" s="1102" t="s">
        <v>96</v>
      </c>
      <c r="M484" s="1102" t="s">
        <v>68</v>
      </c>
      <c r="N484" s="1102" t="s">
        <v>68</v>
      </c>
      <c r="O484" s="1102" t="s">
        <v>550</v>
      </c>
      <c r="P484" s="1102" t="s">
        <v>551</v>
      </c>
      <c r="Q484" s="1102" t="s">
        <v>2151</v>
      </c>
      <c r="R484" s="1102" t="s">
        <v>73</v>
      </c>
      <c r="S484" s="1102" t="s">
        <v>2136</v>
      </c>
      <c r="T484" s="1102">
        <v>510</v>
      </c>
      <c r="U484" s="1102">
        <v>1584</v>
      </c>
      <c r="V484" s="1102">
        <v>0.80784</v>
      </c>
      <c r="W484" s="1102">
        <v>44</v>
      </c>
      <c r="X484" s="1102">
        <v>2</v>
      </c>
      <c r="Y484" s="1102" t="s">
        <v>951</v>
      </c>
      <c r="Z484" s="1102" t="s">
        <v>75</v>
      </c>
      <c r="AA484" s="1102" t="s">
        <v>2357</v>
      </c>
      <c r="AB484" s="1103">
        <v>46141</v>
      </c>
      <c r="AC484" s="1102">
        <v>18</v>
      </c>
      <c r="AD484" s="1102" t="s">
        <v>2358</v>
      </c>
      <c r="AF484" s="1102" t="s">
        <v>123</v>
      </c>
      <c r="AG484" s="1102" t="s">
        <v>123</v>
      </c>
      <c r="AH484" s="1102" t="s">
        <v>1561</v>
      </c>
      <c r="AI484" s="1103">
        <v>46147</v>
      </c>
      <c r="AJ484" s="1103">
        <v>46149</v>
      </c>
      <c r="AK484" s="1103">
        <v>46149</v>
      </c>
      <c r="AL484" s="1103">
        <v>46206</v>
      </c>
      <c r="AN484" s="1103">
        <v>46205</v>
      </c>
      <c r="AO484" s="1102" t="s">
        <v>402</v>
      </c>
      <c r="AP484" s="1102" t="s">
        <v>2359</v>
      </c>
      <c r="AQ484" s="1102" t="s">
        <v>80</v>
      </c>
      <c r="AR484" s="1102" t="s">
        <v>2360</v>
      </c>
      <c r="AS484" s="1102" t="s">
        <v>2361</v>
      </c>
      <c r="AT484" s="1102" t="s">
        <v>2361</v>
      </c>
      <c r="AU484" s="1102">
        <v>56</v>
      </c>
      <c r="AW484" s="1103">
        <v>46205</v>
      </c>
      <c r="AX484" s="1102" t="s">
        <v>973</v>
      </c>
      <c r="AY484" s="1103">
        <v>46218</v>
      </c>
      <c r="AZ484" s="1102">
        <v>13</v>
      </c>
      <c r="BA484" s="1103">
        <v>46218</v>
      </c>
      <c r="BB484" s="1102">
        <v>2026</v>
      </c>
      <c r="BC484" s="1102">
        <v>7</v>
      </c>
      <c r="BD484" s="1102">
        <v>29</v>
      </c>
      <c r="BE484" s="1102">
        <v>36</v>
      </c>
      <c r="BF484" s="1102">
        <v>792</v>
      </c>
      <c r="BG484" s="1102" t="s">
        <v>85</v>
      </c>
      <c r="BH484" s="1102" t="s">
        <v>86</v>
      </c>
    </row>
    <row r="485" spans="1:60">
      <c r="A485" s="1102" t="s">
        <v>2362</v>
      </c>
      <c r="B485" s="1102" t="s">
        <v>2132</v>
      </c>
      <c r="C485" s="1102" t="s">
        <v>2150</v>
      </c>
      <c r="D485" s="1102" t="s">
        <v>63</v>
      </c>
      <c r="E485" s="1102" t="s">
        <v>64</v>
      </c>
      <c r="F485" s="1102" t="s">
        <v>114</v>
      </c>
      <c r="G485" s="1102" t="s">
        <v>402</v>
      </c>
      <c r="H485" s="1102" t="s">
        <v>115</v>
      </c>
      <c r="I485" s="1102" t="s">
        <v>882</v>
      </c>
      <c r="J485" s="1102" t="s">
        <v>96</v>
      </c>
      <c r="M485" s="1102" t="s">
        <v>68</v>
      </c>
      <c r="N485" s="1102" t="s">
        <v>68</v>
      </c>
      <c r="O485" s="1102" t="s">
        <v>550</v>
      </c>
      <c r="P485" s="1102" t="s">
        <v>551</v>
      </c>
      <c r="Q485" s="1102" t="s">
        <v>2151</v>
      </c>
      <c r="R485" s="1102" t="s">
        <v>73</v>
      </c>
      <c r="S485" s="1102" t="s">
        <v>2136</v>
      </c>
      <c r="T485" s="1102">
        <v>510</v>
      </c>
      <c r="U485" s="1102">
        <v>1584</v>
      </c>
      <c r="V485" s="1102">
        <v>0.80784</v>
      </c>
      <c r="W485" s="1102">
        <v>44</v>
      </c>
      <c r="X485" s="1102">
        <v>2</v>
      </c>
      <c r="Y485" s="1102" t="s">
        <v>951</v>
      </c>
      <c r="Z485" s="1102" t="s">
        <v>75</v>
      </c>
      <c r="AA485" s="1102" t="s">
        <v>2343</v>
      </c>
      <c r="AB485" s="1103">
        <v>46141</v>
      </c>
      <c r="AC485" s="1102">
        <v>18</v>
      </c>
      <c r="AD485" s="1102" t="s">
        <v>2363</v>
      </c>
      <c r="AF485" s="1102" t="s">
        <v>123</v>
      </c>
      <c r="AG485" s="1102" t="s">
        <v>123</v>
      </c>
      <c r="AH485" s="1102" t="s">
        <v>124</v>
      </c>
      <c r="AI485" s="1103">
        <v>46147</v>
      </c>
      <c r="AJ485" s="1103">
        <v>46147</v>
      </c>
      <c r="AK485" s="1103">
        <v>46147</v>
      </c>
      <c r="AL485" s="1103">
        <v>46184</v>
      </c>
      <c r="AM485" s="1103">
        <v>46185</v>
      </c>
      <c r="AN485" s="1103">
        <v>46192</v>
      </c>
      <c r="AO485" s="1102" t="s">
        <v>402</v>
      </c>
      <c r="AP485" s="1102" t="s">
        <v>2345</v>
      </c>
      <c r="AQ485" s="1102" t="s">
        <v>80</v>
      </c>
      <c r="AR485" s="1102" t="s">
        <v>2364</v>
      </c>
      <c r="AS485" s="1102" t="s">
        <v>2365</v>
      </c>
      <c r="AT485" s="1102" t="s">
        <v>2365</v>
      </c>
      <c r="AU485" s="1102">
        <v>45</v>
      </c>
      <c r="AW485" s="1103">
        <v>46192</v>
      </c>
      <c r="AX485" s="1102" t="s">
        <v>973</v>
      </c>
      <c r="AY485" s="1103">
        <v>46205</v>
      </c>
      <c r="AZ485" s="1102">
        <v>9</v>
      </c>
      <c r="BA485" s="1103">
        <v>46201</v>
      </c>
      <c r="BB485" s="1102">
        <v>2026</v>
      </c>
      <c r="BC485" s="1102">
        <v>6</v>
      </c>
      <c r="BD485" s="1102">
        <v>26</v>
      </c>
      <c r="BE485" s="1102">
        <v>36</v>
      </c>
      <c r="BF485" s="1102">
        <v>792</v>
      </c>
      <c r="BG485" s="1102" t="s">
        <v>85</v>
      </c>
      <c r="BH485" s="1102" t="s">
        <v>86</v>
      </c>
    </row>
    <row r="486" spans="1:60">
      <c r="A486" s="1102" t="s">
        <v>2366</v>
      </c>
      <c r="B486" s="1102" t="s">
        <v>61</v>
      </c>
      <c r="C486" s="1102" t="s">
        <v>2260</v>
      </c>
      <c r="D486" s="1102" t="s">
        <v>63</v>
      </c>
      <c r="E486" s="1102" t="s">
        <v>64</v>
      </c>
      <c r="F486" s="1102" t="s">
        <v>100</v>
      </c>
      <c r="G486" s="1102" t="s">
        <v>402</v>
      </c>
      <c r="H486" s="1102" t="s">
        <v>67</v>
      </c>
      <c r="I486" s="1102" t="s">
        <v>882</v>
      </c>
      <c r="J486" s="1102" t="s">
        <v>96</v>
      </c>
      <c r="M486" s="1102" t="s">
        <v>68</v>
      </c>
      <c r="N486" s="1102" t="s">
        <v>68</v>
      </c>
      <c r="O486" s="1102" t="s">
        <v>70</v>
      </c>
      <c r="P486" s="1102" t="s">
        <v>1151</v>
      </c>
      <c r="Q486" s="1102" t="s">
        <v>421</v>
      </c>
      <c r="R486" s="1102" t="s">
        <v>73</v>
      </c>
      <c r="S486" s="1102" t="s">
        <v>967</v>
      </c>
      <c r="T486" s="1102">
        <v>505</v>
      </c>
      <c r="U486" s="1102">
        <v>864</v>
      </c>
      <c r="V486" s="1102">
        <v>0.43631999999999999</v>
      </c>
      <c r="W486" s="1102">
        <v>24</v>
      </c>
      <c r="X486" s="1102">
        <v>1</v>
      </c>
      <c r="Y486" s="1102" t="s">
        <v>951</v>
      </c>
      <c r="Z486" s="1102" t="s">
        <v>75</v>
      </c>
      <c r="AA486" s="1102" t="s">
        <v>2183</v>
      </c>
      <c r="AB486" s="1103">
        <v>46141</v>
      </c>
      <c r="AC486" s="1102">
        <v>18</v>
      </c>
      <c r="AD486" s="1102" t="s">
        <v>2367</v>
      </c>
      <c r="AF486" s="1102" t="s">
        <v>61</v>
      </c>
      <c r="AG486" s="1102" t="s">
        <v>61</v>
      </c>
      <c r="AH486" s="1102" t="s">
        <v>105</v>
      </c>
      <c r="AI486" s="1103">
        <v>46146</v>
      </c>
      <c r="AJ486" s="1103">
        <v>46146</v>
      </c>
      <c r="AK486" s="1103">
        <v>46146</v>
      </c>
      <c r="AL486" s="1103">
        <v>46200</v>
      </c>
      <c r="AM486" s="1103">
        <v>46200</v>
      </c>
      <c r="AN486" s="1103">
        <v>46202</v>
      </c>
      <c r="AO486" s="1102" t="s">
        <v>402</v>
      </c>
      <c r="AP486" s="1102" t="s">
        <v>2368</v>
      </c>
      <c r="AQ486" s="1102" t="s">
        <v>80</v>
      </c>
      <c r="AR486" s="1102" t="s">
        <v>2369</v>
      </c>
      <c r="AS486" s="1102" t="s">
        <v>2370</v>
      </c>
      <c r="AT486" s="1102" t="s">
        <v>2370</v>
      </c>
      <c r="AU486" s="1102">
        <v>56</v>
      </c>
      <c r="AW486" s="1103">
        <v>46202</v>
      </c>
      <c r="AX486" s="1102" t="s">
        <v>973</v>
      </c>
      <c r="AY486" s="1103">
        <v>46215</v>
      </c>
      <c r="AZ486" s="1102">
        <v>7</v>
      </c>
      <c r="BA486" s="1103">
        <v>46209</v>
      </c>
      <c r="BB486" s="1102">
        <v>2026</v>
      </c>
      <c r="BC486" s="1102">
        <v>7</v>
      </c>
      <c r="BD486" s="1102">
        <v>28</v>
      </c>
      <c r="BE486" s="1102">
        <v>36</v>
      </c>
      <c r="BF486" s="1102">
        <v>864</v>
      </c>
      <c r="BG486" s="1102" t="s">
        <v>85</v>
      </c>
      <c r="BH486" s="1102" t="s">
        <v>109</v>
      </c>
    </row>
    <row r="487" spans="1:60">
      <c r="A487" s="1102" t="s">
        <v>2371</v>
      </c>
      <c r="B487" s="1102" t="s">
        <v>61</v>
      </c>
      <c r="C487" s="1102" t="s">
        <v>203</v>
      </c>
      <c r="D487" s="1102" t="s">
        <v>63</v>
      </c>
      <c r="E487" s="1102" t="s">
        <v>64</v>
      </c>
      <c r="F487" s="1102" t="s">
        <v>100</v>
      </c>
      <c r="G487" s="1102" t="s">
        <v>402</v>
      </c>
      <c r="H487" s="1102" t="s">
        <v>67</v>
      </c>
      <c r="I487" s="1102" t="s">
        <v>1395</v>
      </c>
      <c r="J487" s="1102" t="s">
        <v>2372</v>
      </c>
      <c r="M487" s="1102" t="s">
        <v>68</v>
      </c>
      <c r="N487" s="1102">
        <v>46125</v>
      </c>
      <c r="O487" s="1102" t="s">
        <v>70</v>
      </c>
      <c r="P487" s="1102" t="s">
        <v>965</v>
      </c>
      <c r="Q487" s="1102" t="s">
        <v>966</v>
      </c>
      <c r="R487" s="1102" t="s">
        <v>73</v>
      </c>
      <c r="S487" s="1102" t="s">
        <v>967</v>
      </c>
      <c r="T487" s="1102">
        <v>455</v>
      </c>
      <c r="U487" s="1102">
        <v>4680</v>
      </c>
      <c r="V487" s="1102">
        <v>2.1294</v>
      </c>
      <c r="W487" s="1102">
        <v>130</v>
      </c>
      <c r="X487" s="1102">
        <v>5</v>
      </c>
      <c r="Y487" s="1102" t="s">
        <v>951</v>
      </c>
      <c r="Z487" s="1102" t="s">
        <v>75</v>
      </c>
      <c r="AA487" s="1102" t="s">
        <v>2373</v>
      </c>
      <c r="AB487" s="1103">
        <v>46141</v>
      </c>
      <c r="AC487" s="1102">
        <v>18</v>
      </c>
      <c r="AD487" s="1102" t="s">
        <v>2374</v>
      </c>
      <c r="AF487" s="1102" t="s">
        <v>77</v>
      </c>
      <c r="AG487" s="1102" t="s">
        <v>61</v>
      </c>
      <c r="AH487" s="1102" t="s">
        <v>105</v>
      </c>
      <c r="AI487" s="1103">
        <v>46146</v>
      </c>
      <c r="AJ487" s="1103">
        <v>46146</v>
      </c>
      <c r="AK487" s="1103">
        <v>46146</v>
      </c>
      <c r="AL487" s="1103">
        <v>46189</v>
      </c>
      <c r="AM487" s="1103">
        <v>46197</v>
      </c>
      <c r="AN487" s="1103">
        <v>46197</v>
      </c>
      <c r="AO487" s="1102" t="s">
        <v>402</v>
      </c>
      <c r="AP487" s="1102" t="s">
        <v>2368</v>
      </c>
      <c r="AQ487" s="1102" t="s">
        <v>80</v>
      </c>
      <c r="AR487" s="1102" t="s">
        <v>2375</v>
      </c>
      <c r="AS487" s="1102" t="s">
        <v>2376</v>
      </c>
      <c r="AT487" s="1102" t="s">
        <v>2376</v>
      </c>
      <c r="AU487" s="1102">
        <v>51</v>
      </c>
      <c r="AW487" s="1103">
        <v>46197</v>
      </c>
      <c r="AX487" s="1102" t="s">
        <v>973</v>
      </c>
      <c r="AY487" s="1103">
        <v>46210</v>
      </c>
      <c r="AZ487" s="1102">
        <v>7</v>
      </c>
      <c r="BA487" s="1103">
        <v>46204</v>
      </c>
      <c r="BB487" s="1102">
        <v>2026</v>
      </c>
      <c r="BC487" s="1102">
        <v>7</v>
      </c>
      <c r="BD487" s="1102">
        <v>27</v>
      </c>
      <c r="BE487" s="1102">
        <v>36</v>
      </c>
      <c r="BF487" s="1102">
        <v>936</v>
      </c>
      <c r="BG487" s="1102" t="s">
        <v>85</v>
      </c>
      <c r="BH487" s="1102" t="s">
        <v>109</v>
      </c>
    </row>
    <row r="488" spans="1:60">
      <c r="A488" s="1102" t="s">
        <v>2377</v>
      </c>
      <c r="B488" s="1102" t="s">
        <v>61</v>
      </c>
      <c r="C488" s="1102" t="s">
        <v>2260</v>
      </c>
      <c r="D488" s="1102" t="s">
        <v>63</v>
      </c>
      <c r="E488" s="1102" t="s">
        <v>64</v>
      </c>
      <c r="F488" s="1102" t="s">
        <v>65</v>
      </c>
      <c r="G488" s="1102" t="s">
        <v>402</v>
      </c>
      <c r="H488" s="1102" t="s">
        <v>67</v>
      </c>
      <c r="I488" s="1102" t="s">
        <v>869</v>
      </c>
      <c r="J488" s="1102" t="s">
        <v>96</v>
      </c>
      <c r="M488" s="1102" t="s">
        <v>68</v>
      </c>
      <c r="N488" s="1102" t="s">
        <v>68</v>
      </c>
      <c r="O488" s="1102" t="s">
        <v>70</v>
      </c>
      <c r="P488" s="1102" t="s">
        <v>1151</v>
      </c>
      <c r="Q488" s="1102" t="s">
        <v>421</v>
      </c>
      <c r="R488" s="1102" t="s">
        <v>73</v>
      </c>
      <c r="S488" s="1102" t="s">
        <v>967</v>
      </c>
      <c r="T488" s="1102">
        <v>505</v>
      </c>
      <c r="U488" s="1102">
        <v>1728</v>
      </c>
      <c r="V488" s="1102">
        <v>0.87263999999999997</v>
      </c>
      <c r="W488" s="1102">
        <v>48</v>
      </c>
      <c r="X488" s="1102">
        <v>2</v>
      </c>
      <c r="Y488" s="1102" t="s">
        <v>951</v>
      </c>
      <c r="Z488" s="1102" t="s">
        <v>75</v>
      </c>
      <c r="AA488" s="1102" t="s">
        <v>2183</v>
      </c>
      <c r="AB488" s="1103">
        <v>46141</v>
      </c>
      <c r="AC488" s="1102">
        <v>18</v>
      </c>
      <c r="AD488" s="1102" t="s">
        <v>2378</v>
      </c>
      <c r="AF488" s="1102" t="s">
        <v>77</v>
      </c>
      <c r="AG488" s="1102" t="s">
        <v>61</v>
      </c>
      <c r="AH488" s="1102" t="s">
        <v>78</v>
      </c>
      <c r="AI488" s="1103">
        <v>46146</v>
      </c>
      <c r="AJ488" s="1103">
        <v>46146</v>
      </c>
      <c r="AK488" s="1103">
        <v>46146</v>
      </c>
      <c r="AL488" s="1103">
        <v>46209</v>
      </c>
      <c r="AM488" s="1103">
        <v>46209</v>
      </c>
      <c r="AN488" s="1103">
        <v>46210</v>
      </c>
      <c r="AO488" s="1102" t="s">
        <v>402</v>
      </c>
      <c r="AP488" s="1102" t="s">
        <v>2368</v>
      </c>
      <c r="AQ488" s="1102" t="s">
        <v>80</v>
      </c>
      <c r="AR488" s="1102" t="s">
        <v>2379</v>
      </c>
      <c r="AS488" s="1102" t="s">
        <v>2380</v>
      </c>
      <c r="AT488" s="1102" t="s">
        <v>2380</v>
      </c>
      <c r="AU488" s="1102">
        <v>64</v>
      </c>
      <c r="AW488" s="1103">
        <v>46210</v>
      </c>
      <c r="AX488" s="1102" t="s">
        <v>973</v>
      </c>
      <c r="AY488" s="1103">
        <v>46222</v>
      </c>
      <c r="AZ488" s="1102">
        <v>8</v>
      </c>
      <c r="BA488" s="1103">
        <v>46218</v>
      </c>
      <c r="BB488" s="1102">
        <v>2026</v>
      </c>
      <c r="BC488" s="1102">
        <v>7</v>
      </c>
      <c r="BD488" s="1102">
        <v>29</v>
      </c>
      <c r="BE488" s="1102">
        <v>36</v>
      </c>
      <c r="BF488" s="1102">
        <v>864</v>
      </c>
      <c r="BG488" s="1102" t="s">
        <v>85</v>
      </c>
      <c r="BH488" s="1102" t="s">
        <v>86</v>
      </c>
    </row>
    <row r="489" spans="1:60">
      <c r="A489" s="1102" t="s">
        <v>2381</v>
      </c>
      <c r="B489" s="1102" t="s">
        <v>61</v>
      </c>
      <c r="C489" s="1102" t="s">
        <v>2260</v>
      </c>
      <c r="D489" s="1102" t="s">
        <v>63</v>
      </c>
      <c r="E489" s="1102" t="s">
        <v>144</v>
      </c>
      <c r="F489" s="1102" t="s">
        <v>145</v>
      </c>
      <c r="G489" s="1102" t="s">
        <v>146</v>
      </c>
      <c r="H489" s="1102" t="s">
        <v>2382</v>
      </c>
      <c r="I489" s="1102" t="s">
        <v>869</v>
      </c>
      <c r="J489" s="1102" t="s">
        <v>2382</v>
      </c>
      <c r="K489" s="1102" t="s">
        <v>2383</v>
      </c>
      <c r="L489" s="1102" t="s">
        <v>2384</v>
      </c>
      <c r="M489" s="1102" t="s">
        <v>840</v>
      </c>
      <c r="N489" s="1102" t="s">
        <v>68</v>
      </c>
      <c r="O489" s="1102" t="s">
        <v>70</v>
      </c>
      <c r="P489" s="1102" t="s">
        <v>1151</v>
      </c>
      <c r="Q489" s="1102" t="s">
        <v>421</v>
      </c>
      <c r="R489" s="1102" t="s">
        <v>73</v>
      </c>
      <c r="S489" s="1102" t="s">
        <v>967</v>
      </c>
      <c r="T489" s="1102">
        <v>505</v>
      </c>
      <c r="U489" s="1102">
        <v>1728</v>
      </c>
      <c r="V489" s="1102">
        <v>0.87263999999999997</v>
      </c>
      <c r="W489" s="1102">
        <v>48</v>
      </c>
      <c r="X489" s="1102">
        <v>2</v>
      </c>
      <c r="Y489" s="1102" t="s">
        <v>951</v>
      </c>
      <c r="Z489" s="1102" t="s">
        <v>75</v>
      </c>
      <c r="AA489" s="1102" t="s">
        <v>2183</v>
      </c>
      <c r="AB489" s="1103">
        <v>46141</v>
      </c>
      <c r="AC489" s="1102">
        <v>18</v>
      </c>
      <c r="AD489" s="1102" t="s">
        <v>2385</v>
      </c>
      <c r="AF489" s="1102" t="s">
        <v>77</v>
      </c>
      <c r="AG489" s="1102" t="s">
        <v>61</v>
      </c>
      <c r="AH489" s="1102" t="s">
        <v>78</v>
      </c>
      <c r="AI489" s="1103">
        <v>46146</v>
      </c>
      <c r="AJ489" s="1103">
        <v>46146</v>
      </c>
      <c r="AK489" s="1103">
        <v>46146</v>
      </c>
      <c r="AL489" s="1103">
        <v>46209</v>
      </c>
      <c r="AM489" s="1103">
        <v>46209</v>
      </c>
      <c r="AN489" s="1103">
        <v>46210</v>
      </c>
      <c r="AO489" s="1102" t="s">
        <v>402</v>
      </c>
      <c r="AP489" s="1102" t="s">
        <v>2368</v>
      </c>
      <c r="AQ489" s="1102" t="s">
        <v>80</v>
      </c>
      <c r="AR489" s="1102" t="s">
        <v>2379</v>
      </c>
      <c r="AS489" s="1102" t="s">
        <v>2386</v>
      </c>
      <c r="AT489" s="1102" t="s">
        <v>2380</v>
      </c>
      <c r="AU489" s="1102">
        <v>64</v>
      </c>
      <c r="AW489" s="1103">
        <v>46210</v>
      </c>
      <c r="AX489" s="1102" t="s">
        <v>973</v>
      </c>
      <c r="AY489" s="1103">
        <v>46222</v>
      </c>
      <c r="AZ489" s="1102">
        <v>0</v>
      </c>
      <c r="BA489" s="1103">
        <v>46210</v>
      </c>
      <c r="BB489" s="1102">
        <v>2026</v>
      </c>
      <c r="BC489" s="1102">
        <v>7</v>
      </c>
      <c r="BD489" s="1102">
        <v>28</v>
      </c>
      <c r="BE489" s="1102">
        <v>36</v>
      </c>
      <c r="BF489" s="1102">
        <v>864</v>
      </c>
      <c r="BG489" s="1102" t="s">
        <v>85</v>
      </c>
      <c r="BH489" s="1102" t="s">
        <v>86</v>
      </c>
    </row>
    <row r="490" spans="1:60">
      <c r="A490" s="1102" t="s">
        <v>2387</v>
      </c>
      <c r="B490" s="1102" t="s">
        <v>61</v>
      </c>
      <c r="C490" s="1102" t="s">
        <v>2268</v>
      </c>
      <c r="D490" s="1102" t="s">
        <v>63</v>
      </c>
      <c r="E490" s="1102" t="s">
        <v>144</v>
      </c>
      <c r="F490" s="1102" t="s">
        <v>145</v>
      </c>
      <c r="G490" s="1102" t="s">
        <v>402</v>
      </c>
      <c r="H490" s="1102" t="s">
        <v>1029</v>
      </c>
      <c r="I490" s="1102" t="s">
        <v>689</v>
      </c>
      <c r="J490" s="1102" t="s">
        <v>2388</v>
      </c>
      <c r="K490" s="1102" t="s">
        <v>2389</v>
      </c>
      <c r="L490" s="1102">
        <v>1</v>
      </c>
      <c r="M490" s="1102" t="s">
        <v>840</v>
      </c>
      <c r="N490" s="1102" t="s">
        <v>68</v>
      </c>
      <c r="O490" s="1102" t="s">
        <v>70</v>
      </c>
      <c r="P490" s="1102" t="s">
        <v>71</v>
      </c>
      <c r="Q490" s="1102" t="s">
        <v>72</v>
      </c>
      <c r="R490" s="1102" t="s">
        <v>73</v>
      </c>
      <c r="S490" s="1102" t="s">
        <v>967</v>
      </c>
      <c r="T490" s="1102">
        <v>500</v>
      </c>
      <c r="U490" s="1102">
        <v>864</v>
      </c>
      <c r="V490" s="1102">
        <v>0.432</v>
      </c>
      <c r="W490" s="1102">
        <v>24</v>
      </c>
      <c r="X490" s="1102">
        <v>1</v>
      </c>
      <c r="Y490" s="1102" t="s">
        <v>951</v>
      </c>
      <c r="Z490" s="1102" t="s">
        <v>75</v>
      </c>
      <c r="AB490" s="1103">
        <v>46141</v>
      </c>
      <c r="AC490" s="1102">
        <v>18</v>
      </c>
      <c r="AD490" s="1102" t="s">
        <v>2390</v>
      </c>
      <c r="AF490" s="1102" t="s">
        <v>77</v>
      </c>
      <c r="AG490" s="1102" t="s">
        <v>61</v>
      </c>
      <c r="AH490" s="1102" t="s">
        <v>888</v>
      </c>
      <c r="AI490" s="1103">
        <v>46146</v>
      </c>
      <c r="AJ490" s="1103">
        <v>46146</v>
      </c>
      <c r="AK490" s="1103">
        <v>46146</v>
      </c>
      <c r="AL490" s="1103">
        <v>46204</v>
      </c>
      <c r="AM490" s="1103">
        <v>46211</v>
      </c>
      <c r="AN490" s="1103">
        <v>46211</v>
      </c>
      <c r="AO490" s="1102" t="s">
        <v>402</v>
      </c>
      <c r="AP490" s="1102" t="s">
        <v>2368</v>
      </c>
      <c r="AQ490" s="1102" t="s">
        <v>80</v>
      </c>
      <c r="AR490" s="1102" t="s">
        <v>2391</v>
      </c>
      <c r="AS490" s="1102" t="s">
        <v>2392</v>
      </c>
      <c r="AT490" s="1102" t="s">
        <v>2392</v>
      </c>
      <c r="AU490" s="1102">
        <v>65</v>
      </c>
      <c r="AW490" s="1103">
        <v>46211</v>
      </c>
      <c r="AX490" s="1102" t="s">
        <v>973</v>
      </c>
      <c r="AY490" s="1103">
        <v>46203</v>
      </c>
      <c r="AZ490" s="1102">
        <v>0</v>
      </c>
      <c r="BA490" s="1103">
        <v>46211</v>
      </c>
      <c r="BB490" s="1102">
        <v>2026</v>
      </c>
      <c r="BC490" s="1102">
        <v>7</v>
      </c>
      <c r="BD490" s="1102">
        <v>28</v>
      </c>
      <c r="BE490" s="1102">
        <v>36</v>
      </c>
      <c r="BF490" s="1102">
        <v>864</v>
      </c>
      <c r="BG490" s="1102" t="s">
        <v>85</v>
      </c>
      <c r="BH490" s="1102" t="s">
        <v>109</v>
      </c>
    </row>
    <row r="491" spans="1:60">
      <c r="A491" s="1102" t="s">
        <v>2393</v>
      </c>
      <c r="B491" s="1102" t="s">
        <v>61</v>
      </c>
      <c r="C491" s="1102" t="s">
        <v>2268</v>
      </c>
      <c r="D491" s="1102" t="s">
        <v>63</v>
      </c>
      <c r="E491" s="1102" t="s">
        <v>144</v>
      </c>
      <c r="F491" s="1102" t="s">
        <v>145</v>
      </c>
      <c r="G491" s="1102" t="s">
        <v>402</v>
      </c>
      <c r="H491" s="1102" t="s">
        <v>2394</v>
      </c>
      <c r="I491" s="1102" t="s">
        <v>689</v>
      </c>
      <c r="J491" s="1102" t="s">
        <v>2395</v>
      </c>
      <c r="K491" s="1102" t="s">
        <v>2396</v>
      </c>
      <c r="M491" s="1102" t="s">
        <v>840</v>
      </c>
      <c r="N491" s="1102" t="s">
        <v>68</v>
      </c>
      <c r="O491" s="1102" t="s">
        <v>70</v>
      </c>
      <c r="P491" s="1102" t="s">
        <v>71</v>
      </c>
      <c r="Q491" s="1102" t="s">
        <v>72</v>
      </c>
      <c r="R491" s="1102" t="s">
        <v>73</v>
      </c>
      <c r="S491" s="1102" t="s">
        <v>967</v>
      </c>
      <c r="T491" s="1102">
        <v>500</v>
      </c>
      <c r="U491" s="1102">
        <v>5184</v>
      </c>
      <c r="V491" s="1102">
        <v>2.5920000000000001</v>
      </c>
      <c r="W491" s="1102">
        <v>144</v>
      </c>
      <c r="X491" s="1102">
        <v>6</v>
      </c>
      <c r="Y491" s="1102" t="s">
        <v>951</v>
      </c>
      <c r="Z491" s="1102" t="s">
        <v>75</v>
      </c>
      <c r="AB491" s="1103">
        <v>46136</v>
      </c>
      <c r="AC491" s="1102">
        <v>17</v>
      </c>
      <c r="AD491" s="1102" t="s">
        <v>2397</v>
      </c>
      <c r="AF491" s="1102" t="s">
        <v>77</v>
      </c>
      <c r="AG491" s="1102" t="s">
        <v>61</v>
      </c>
      <c r="AH491" s="1102" t="s">
        <v>888</v>
      </c>
      <c r="AI491" s="1103">
        <v>46144</v>
      </c>
      <c r="AJ491" s="1103">
        <v>46149</v>
      </c>
      <c r="AK491" s="1103">
        <v>46149</v>
      </c>
      <c r="AL491" s="1103">
        <v>46208</v>
      </c>
      <c r="AM491" s="1103">
        <v>46206</v>
      </c>
      <c r="AN491" s="1103">
        <v>46207</v>
      </c>
      <c r="AO491" s="1102" t="s">
        <v>402</v>
      </c>
      <c r="AP491" s="1102" t="s">
        <v>2398</v>
      </c>
      <c r="AQ491" s="1102" t="s">
        <v>161</v>
      </c>
      <c r="AR491" s="1102" t="s">
        <v>2399</v>
      </c>
      <c r="AS491" s="1102" t="s">
        <v>2400</v>
      </c>
      <c r="AT491" s="1102" t="s">
        <v>2401</v>
      </c>
      <c r="AU491" s="1102">
        <v>58</v>
      </c>
      <c r="AW491" s="1103">
        <v>46207</v>
      </c>
      <c r="AX491" s="1102" t="s">
        <v>973</v>
      </c>
      <c r="AY491" s="1103">
        <v>46202</v>
      </c>
      <c r="AZ491" s="1102">
        <v>0</v>
      </c>
      <c r="BA491" s="1103">
        <v>46207</v>
      </c>
      <c r="BB491" s="1102">
        <v>2026</v>
      </c>
      <c r="BC491" s="1102">
        <v>7</v>
      </c>
      <c r="BD491" s="1102">
        <v>27</v>
      </c>
      <c r="BE491" s="1102">
        <v>36</v>
      </c>
      <c r="BF491" s="1102">
        <v>864</v>
      </c>
      <c r="BG491" s="1102" t="s">
        <v>85</v>
      </c>
      <c r="BH491" s="1102" t="s">
        <v>109</v>
      </c>
    </row>
    <row r="492" spans="1:60">
      <c r="A492" s="1102" t="s">
        <v>2402</v>
      </c>
      <c r="B492" s="1102" t="s">
        <v>61</v>
      </c>
      <c r="C492" s="1102" t="s">
        <v>2268</v>
      </c>
      <c r="D492" s="1102" t="s">
        <v>63</v>
      </c>
      <c r="E492" s="1102" t="s">
        <v>144</v>
      </c>
      <c r="F492" s="1102" t="s">
        <v>145</v>
      </c>
      <c r="G492" s="1102" t="s">
        <v>402</v>
      </c>
      <c r="H492" s="1102" t="s">
        <v>1029</v>
      </c>
      <c r="I492" s="1102" t="s">
        <v>689</v>
      </c>
      <c r="J492" s="1102" t="s">
        <v>2388</v>
      </c>
      <c r="K492" s="1102" t="s">
        <v>2389</v>
      </c>
      <c r="L492" s="1102">
        <v>1</v>
      </c>
      <c r="M492" s="1102" t="s">
        <v>840</v>
      </c>
      <c r="N492" s="1102" t="s">
        <v>68</v>
      </c>
      <c r="O492" s="1102" t="s">
        <v>70</v>
      </c>
      <c r="P492" s="1102" t="s">
        <v>71</v>
      </c>
      <c r="Q492" s="1102" t="s">
        <v>72</v>
      </c>
      <c r="R492" s="1102" t="s">
        <v>73</v>
      </c>
      <c r="S492" s="1102" t="s">
        <v>967</v>
      </c>
      <c r="T492" s="1102">
        <v>500</v>
      </c>
      <c r="U492" s="1102">
        <v>4320</v>
      </c>
      <c r="V492" s="1102">
        <v>2.16</v>
      </c>
      <c r="W492" s="1102">
        <v>120</v>
      </c>
      <c r="X492" s="1102">
        <v>5</v>
      </c>
      <c r="Y492" s="1102" t="s">
        <v>951</v>
      </c>
      <c r="Z492" s="1102" t="s">
        <v>75</v>
      </c>
      <c r="AB492" s="1103">
        <v>46136</v>
      </c>
      <c r="AC492" s="1102">
        <v>17</v>
      </c>
      <c r="AD492" s="1102" t="s">
        <v>2403</v>
      </c>
      <c r="AF492" s="1102" t="s">
        <v>77</v>
      </c>
      <c r="AG492" s="1102" t="s">
        <v>61</v>
      </c>
      <c r="AH492" s="1102" t="s">
        <v>888</v>
      </c>
      <c r="AI492" s="1103">
        <v>46144</v>
      </c>
      <c r="AJ492" s="1103">
        <v>46149</v>
      </c>
      <c r="AK492" s="1103">
        <v>46149</v>
      </c>
      <c r="AL492" s="1103">
        <v>46208</v>
      </c>
      <c r="AM492" s="1103">
        <v>46206</v>
      </c>
      <c r="AN492" s="1103">
        <v>46207</v>
      </c>
      <c r="AO492" s="1102" t="s">
        <v>402</v>
      </c>
      <c r="AP492" s="1102" t="s">
        <v>2398</v>
      </c>
      <c r="AQ492" s="1102" t="s">
        <v>161</v>
      </c>
      <c r="AR492" s="1102" t="s">
        <v>2404</v>
      </c>
      <c r="AS492" s="1102" t="s">
        <v>2405</v>
      </c>
      <c r="AT492" s="1102" t="s">
        <v>2406</v>
      </c>
      <c r="AU492" s="1102">
        <v>58</v>
      </c>
      <c r="AW492" s="1103">
        <v>46207</v>
      </c>
      <c r="AX492" s="1102" t="s">
        <v>973</v>
      </c>
      <c r="AY492" s="1103">
        <v>46202</v>
      </c>
      <c r="AZ492" s="1102">
        <v>0</v>
      </c>
      <c r="BA492" s="1103">
        <v>46207</v>
      </c>
      <c r="BB492" s="1102">
        <v>2026</v>
      </c>
      <c r="BC492" s="1102">
        <v>7</v>
      </c>
      <c r="BD492" s="1102">
        <v>27</v>
      </c>
      <c r="BE492" s="1102">
        <v>36</v>
      </c>
      <c r="BF492" s="1102">
        <v>864</v>
      </c>
      <c r="BG492" s="1102" t="s">
        <v>85</v>
      </c>
      <c r="BH492" s="1102" t="s">
        <v>109</v>
      </c>
    </row>
    <row r="493" spans="1:60">
      <c r="A493" s="1102" t="s">
        <v>2407</v>
      </c>
      <c r="B493" s="1102" t="s">
        <v>1888</v>
      </c>
      <c r="C493" s="1102" t="s">
        <v>1016</v>
      </c>
      <c r="D493" s="1102" t="s">
        <v>63</v>
      </c>
      <c r="E493" s="1102" t="s">
        <v>144</v>
      </c>
      <c r="F493" s="1102" t="s">
        <v>145</v>
      </c>
      <c r="G493" s="1102" t="s">
        <v>402</v>
      </c>
      <c r="H493" s="1102" t="s">
        <v>1080</v>
      </c>
      <c r="I493" s="1102" t="s">
        <v>689</v>
      </c>
      <c r="J493" s="1102" t="s">
        <v>2408</v>
      </c>
      <c r="K493" s="1102" t="s">
        <v>2253</v>
      </c>
      <c r="L493" s="1102">
        <v>2</v>
      </c>
      <c r="M493" s="1102" t="s">
        <v>840</v>
      </c>
      <c r="N493" s="1102">
        <v>46111</v>
      </c>
      <c r="O493" s="1102" t="s">
        <v>70</v>
      </c>
      <c r="P493" s="1102" t="s">
        <v>195</v>
      </c>
      <c r="Q493" s="1102" t="s">
        <v>196</v>
      </c>
      <c r="R493" s="1102" t="s">
        <v>73</v>
      </c>
      <c r="S493" s="1102" t="s">
        <v>967</v>
      </c>
      <c r="T493" s="1102">
        <v>450</v>
      </c>
      <c r="U493" s="1102">
        <v>1872</v>
      </c>
      <c r="V493" s="1102">
        <v>0.84240000000000004</v>
      </c>
      <c r="W493" s="1102">
        <v>52</v>
      </c>
      <c r="X493" s="1102">
        <v>2</v>
      </c>
      <c r="Y493" s="1102" t="s">
        <v>951</v>
      </c>
      <c r="Z493" s="1102" t="s">
        <v>75</v>
      </c>
      <c r="AA493" s="1102" t="s">
        <v>2038</v>
      </c>
      <c r="AB493" s="1103">
        <v>46146</v>
      </c>
      <c r="AC493" s="1102">
        <v>19</v>
      </c>
      <c r="AD493" s="1102" t="s">
        <v>2409</v>
      </c>
      <c r="AF493" s="1102" t="s">
        <v>1891</v>
      </c>
      <c r="AG493" s="1102" t="s">
        <v>123</v>
      </c>
      <c r="AH493" s="1102" t="s">
        <v>1084</v>
      </c>
      <c r="AI493" s="1103">
        <v>46150</v>
      </c>
      <c r="AJ493" s="1103">
        <v>46155</v>
      </c>
      <c r="AK493" s="1103">
        <v>46155</v>
      </c>
      <c r="AL493" s="1103">
        <v>46191</v>
      </c>
      <c r="AM493" s="1103">
        <v>46196</v>
      </c>
      <c r="AN493" s="1103">
        <v>46196</v>
      </c>
      <c r="AO493" s="1102" t="s">
        <v>402</v>
      </c>
      <c r="AP493" s="1102" t="s">
        <v>2410</v>
      </c>
      <c r="AQ493" s="1102" t="s">
        <v>161</v>
      </c>
      <c r="AR493" s="1102" t="s">
        <v>2411</v>
      </c>
      <c r="AS493" s="1102" t="s">
        <v>2412</v>
      </c>
      <c r="AT493" s="1102" t="s">
        <v>2413</v>
      </c>
      <c r="AU493" s="1102">
        <v>41</v>
      </c>
      <c r="AW493" s="1103">
        <v>46196</v>
      </c>
      <c r="AX493" s="1102" t="s">
        <v>973</v>
      </c>
      <c r="AY493" s="1103">
        <v>46190</v>
      </c>
      <c r="AZ493" s="1102">
        <v>0</v>
      </c>
      <c r="BA493" s="1103">
        <v>46196</v>
      </c>
      <c r="BB493" s="1102">
        <v>2026</v>
      </c>
      <c r="BC493" s="1102">
        <v>6</v>
      </c>
      <c r="BD493" s="1102">
        <v>26</v>
      </c>
      <c r="BE493" s="1102">
        <v>36</v>
      </c>
      <c r="BF493" s="1102">
        <v>936</v>
      </c>
      <c r="BG493" s="1102" t="s">
        <v>85</v>
      </c>
      <c r="BH493" s="1102" t="s">
        <v>109</v>
      </c>
    </row>
    <row r="494" spans="1:60">
      <c r="A494" s="1102" t="s">
        <v>2414</v>
      </c>
      <c r="B494" s="1102" t="s">
        <v>61</v>
      </c>
      <c r="C494" s="1102" t="s">
        <v>2415</v>
      </c>
      <c r="D494" s="1102" t="s">
        <v>63</v>
      </c>
      <c r="E494" s="1102" t="s">
        <v>64</v>
      </c>
      <c r="F494" s="1102" t="s">
        <v>65</v>
      </c>
      <c r="G494" s="1102" t="s">
        <v>402</v>
      </c>
      <c r="H494" s="1102" t="s">
        <v>67</v>
      </c>
      <c r="I494" s="1102" t="s">
        <v>1395</v>
      </c>
      <c r="J494" s="1102" t="s">
        <v>96</v>
      </c>
      <c r="M494" s="1102" t="s">
        <v>68</v>
      </c>
      <c r="N494" s="1102">
        <v>46139</v>
      </c>
      <c r="O494" s="1102" t="s">
        <v>550</v>
      </c>
      <c r="P494" s="1102" t="s">
        <v>551</v>
      </c>
      <c r="Q494" s="1102" t="s">
        <v>2151</v>
      </c>
      <c r="R494" s="1102" t="s">
        <v>73</v>
      </c>
      <c r="S494" s="1102" t="s">
        <v>2136</v>
      </c>
      <c r="T494" s="1102">
        <v>510</v>
      </c>
      <c r="U494" s="1102">
        <v>3168</v>
      </c>
      <c r="V494" s="1102">
        <v>1.61568</v>
      </c>
      <c r="W494" s="1102">
        <v>88</v>
      </c>
      <c r="X494" s="1102">
        <v>4</v>
      </c>
      <c r="Y494" s="1102" t="s">
        <v>951</v>
      </c>
      <c r="Z494" s="1102" t="s">
        <v>75</v>
      </c>
      <c r="AA494" s="1102" t="s">
        <v>2416</v>
      </c>
      <c r="AB494" s="1103">
        <v>46153</v>
      </c>
      <c r="AC494" s="1102">
        <v>20</v>
      </c>
      <c r="AD494" s="1102" t="s">
        <v>2417</v>
      </c>
      <c r="AF494" s="1102" t="s">
        <v>122</v>
      </c>
      <c r="AG494" s="1102" t="s">
        <v>123</v>
      </c>
      <c r="AH494" s="1102" t="s">
        <v>356</v>
      </c>
      <c r="AI494" s="1103">
        <v>46158</v>
      </c>
      <c r="AJ494" s="1103">
        <v>46158</v>
      </c>
      <c r="AK494" s="1103">
        <v>46158</v>
      </c>
      <c r="AL494" s="1103">
        <v>46214</v>
      </c>
      <c r="AN494" s="1103">
        <v>46217</v>
      </c>
      <c r="AO494" s="1102" t="s">
        <v>402</v>
      </c>
      <c r="AP494" s="1102" t="s">
        <v>2418</v>
      </c>
      <c r="AQ494" s="1102" t="s">
        <v>161</v>
      </c>
      <c r="AR494" s="1102" t="s">
        <v>2419</v>
      </c>
      <c r="AS494" s="1102" t="s">
        <v>2420</v>
      </c>
      <c r="AT494" s="1102" t="s">
        <v>2420</v>
      </c>
      <c r="AU494" s="1102">
        <v>59</v>
      </c>
      <c r="AW494" s="1103">
        <v>46217</v>
      </c>
      <c r="AX494" s="1102" t="s">
        <v>973</v>
      </c>
      <c r="AY494" s="1103">
        <v>46226</v>
      </c>
      <c r="AZ494" s="1102">
        <v>8</v>
      </c>
      <c r="BA494" s="1103">
        <v>46225</v>
      </c>
      <c r="BB494" s="1102">
        <v>2026</v>
      </c>
      <c r="BC494" s="1102">
        <v>7</v>
      </c>
      <c r="BD494" s="1102">
        <v>30</v>
      </c>
      <c r="BE494" s="1102">
        <v>36</v>
      </c>
      <c r="BF494" s="1102">
        <v>792</v>
      </c>
      <c r="BG494" s="1102" t="s">
        <v>85</v>
      </c>
      <c r="BH494" s="1102" t="s">
        <v>109</v>
      </c>
    </row>
    <row r="495" spans="1:60">
      <c r="A495" s="1102" t="s">
        <v>2421</v>
      </c>
      <c r="B495" s="1102" t="s">
        <v>111</v>
      </c>
      <c r="C495" s="1102" t="s">
        <v>2422</v>
      </c>
      <c r="D495" s="1102" t="s">
        <v>63</v>
      </c>
      <c r="E495" s="1102" t="s">
        <v>64</v>
      </c>
      <c r="F495" s="1102" t="s">
        <v>100</v>
      </c>
      <c r="G495" s="1102" t="s">
        <v>402</v>
      </c>
      <c r="H495" s="1102" t="s">
        <v>67</v>
      </c>
      <c r="I495" s="1102" t="s">
        <v>689</v>
      </c>
      <c r="J495" s="1102" t="s">
        <v>96</v>
      </c>
      <c r="M495" s="1102" t="s">
        <v>68</v>
      </c>
      <c r="N495" s="1102">
        <v>46146</v>
      </c>
      <c r="O495" s="1102" t="s">
        <v>132</v>
      </c>
      <c r="P495" s="1102" t="s">
        <v>1062</v>
      </c>
      <c r="Q495" s="1102" t="s">
        <v>1063</v>
      </c>
      <c r="R495" s="1102" t="s">
        <v>73</v>
      </c>
      <c r="S495" s="1102" t="s">
        <v>967</v>
      </c>
      <c r="T495" s="1102">
        <v>470</v>
      </c>
      <c r="U495" s="1102">
        <v>6912</v>
      </c>
      <c r="V495" s="1102">
        <v>3.24864</v>
      </c>
      <c r="W495" s="1102">
        <v>192</v>
      </c>
      <c r="X495" s="1102">
        <v>8</v>
      </c>
      <c r="Y495" s="1102" t="s">
        <v>951</v>
      </c>
      <c r="Z495" s="1102" t="s">
        <v>75</v>
      </c>
      <c r="AA495" s="1102" t="s">
        <v>2423</v>
      </c>
      <c r="AB495" s="1103">
        <v>46147</v>
      </c>
      <c r="AC495" s="1102">
        <v>19</v>
      </c>
      <c r="AD495" s="1102" t="s">
        <v>2424</v>
      </c>
      <c r="AF495" s="1102" t="s">
        <v>123</v>
      </c>
      <c r="AG495" s="1102" t="s">
        <v>123</v>
      </c>
      <c r="AH495" s="1102" t="s">
        <v>105</v>
      </c>
      <c r="AI495" s="1103">
        <v>46152</v>
      </c>
      <c r="AJ495" s="1103">
        <v>46155</v>
      </c>
      <c r="AK495" s="1103">
        <v>46155</v>
      </c>
      <c r="AL495" s="1103">
        <v>46189</v>
      </c>
      <c r="AM495" s="1103">
        <v>46197</v>
      </c>
      <c r="AN495" s="1103">
        <v>46197</v>
      </c>
      <c r="AO495" s="1102" t="s">
        <v>402</v>
      </c>
      <c r="AP495" s="1102" t="s">
        <v>2368</v>
      </c>
      <c r="AQ495" s="1102" t="s">
        <v>80</v>
      </c>
      <c r="AR495" s="1102" t="s">
        <v>2425</v>
      </c>
      <c r="AS495" s="1102" t="s">
        <v>2426</v>
      </c>
      <c r="AT495" s="1102" t="s">
        <v>2426</v>
      </c>
      <c r="AU495" s="1102">
        <v>42</v>
      </c>
      <c r="AW495" s="1103">
        <v>46197</v>
      </c>
      <c r="AX495" s="1102" t="s">
        <v>973</v>
      </c>
      <c r="AY495" s="1103">
        <v>46210</v>
      </c>
      <c r="AZ495" s="1102">
        <v>7</v>
      </c>
      <c r="BA495" s="1103">
        <v>46204</v>
      </c>
      <c r="BB495" s="1102">
        <v>2026</v>
      </c>
      <c r="BC495" s="1102">
        <v>7</v>
      </c>
      <c r="BD495" s="1102">
        <v>27</v>
      </c>
      <c r="BE495" s="1102">
        <v>36</v>
      </c>
      <c r="BF495" s="1102">
        <v>864</v>
      </c>
      <c r="BG495" s="1102" t="s">
        <v>108</v>
      </c>
      <c r="BH495" s="1102" t="s">
        <v>109</v>
      </c>
    </row>
    <row r="496" spans="1:60">
      <c r="A496" s="1102" t="s">
        <v>2427</v>
      </c>
      <c r="B496" s="1102" t="s">
        <v>111</v>
      </c>
      <c r="C496" s="1102" t="s">
        <v>2422</v>
      </c>
      <c r="D496" s="1102" t="s">
        <v>63</v>
      </c>
      <c r="E496" s="1102" t="s">
        <v>64</v>
      </c>
      <c r="F496" s="1102" t="s">
        <v>450</v>
      </c>
      <c r="G496" s="1102" t="s">
        <v>402</v>
      </c>
      <c r="H496" s="1102" t="s">
        <v>451</v>
      </c>
      <c r="I496" s="1102" t="s">
        <v>689</v>
      </c>
      <c r="J496" s="1102" t="s">
        <v>96</v>
      </c>
      <c r="M496" s="1102" t="s">
        <v>68</v>
      </c>
      <c r="N496" s="1102">
        <v>46146</v>
      </c>
      <c r="O496" s="1102" t="s">
        <v>132</v>
      </c>
      <c r="P496" s="1102" t="s">
        <v>1062</v>
      </c>
      <c r="Q496" s="1102" t="s">
        <v>1063</v>
      </c>
      <c r="R496" s="1102" t="s">
        <v>73</v>
      </c>
      <c r="S496" s="1102" t="s">
        <v>967</v>
      </c>
      <c r="T496" s="1102">
        <v>470</v>
      </c>
      <c r="U496" s="1102">
        <v>1728</v>
      </c>
      <c r="V496" s="1102">
        <v>0.81215999999999999</v>
      </c>
      <c r="W496" s="1102">
        <v>48</v>
      </c>
      <c r="X496" s="1102">
        <v>2</v>
      </c>
      <c r="Y496" s="1102" t="s">
        <v>951</v>
      </c>
      <c r="Z496" s="1102" t="s">
        <v>75</v>
      </c>
      <c r="AA496" s="1102" t="s">
        <v>2428</v>
      </c>
      <c r="AB496" s="1103">
        <v>46152</v>
      </c>
      <c r="AC496" s="1102">
        <v>19</v>
      </c>
      <c r="AD496" s="1102" t="s">
        <v>2429</v>
      </c>
      <c r="AF496" s="1102" t="s">
        <v>123</v>
      </c>
      <c r="AG496" s="1102" t="s">
        <v>123</v>
      </c>
      <c r="AH496" s="1102" t="s">
        <v>456</v>
      </c>
      <c r="AI496" s="1103">
        <v>46156</v>
      </c>
      <c r="AJ496" s="1103">
        <v>46155</v>
      </c>
      <c r="AK496" s="1103">
        <v>46154</v>
      </c>
      <c r="AL496" s="1103">
        <v>46193</v>
      </c>
      <c r="AM496" s="1103">
        <v>46212</v>
      </c>
      <c r="AN496" s="1103">
        <v>46213</v>
      </c>
      <c r="AO496" s="1102" t="s">
        <v>402</v>
      </c>
      <c r="AP496" s="1102" t="s">
        <v>2430</v>
      </c>
      <c r="AQ496" s="1102" t="s">
        <v>161</v>
      </c>
      <c r="AR496" s="1102" t="s">
        <v>2431</v>
      </c>
      <c r="AS496" s="1102" t="s">
        <v>2432</v>
      </c>
      <c r="AT496" s="1102" t="s">
        <v>2433</v>
      </c>
      <c r="AU496" s="1102">
        <v>59</v>
      </c>
      <c r="AW496" s="1103">
        <v>46213</v>
      </c>
      <c r="AX496" s="1102" t="s">
        <v>2434</v>
      </c>
      <c r="AY496" s="1103">
        <v>46219</v>
      </c>
      <c r="AZ496" s="1102">
        <v>7</v>
      </c>
      <c r="BA496" s="1103">
        <v>46220</v>
      </c>
      <c r="BB496" s="1102">
        <v>2026</v>
      </c>
      <c r="BC496" s="1102">
        <v>7</v>
      </c>
      <c r="BD496" s="1102">
        <v>29</v>
      </c>
      <c r="BE496" s="1102">
        <v>36</v>
      </c>
      <c r="BF496" s="1102">
        <v>864</v>
      </c>
      <c r="BG496" s="1102" t="s">
        <v>108</v>
      </c>
      <c r="BH496" s="1102" t="s">
        <v>109</v>
      </c>
    </row>
    <row r="497" spans="1:60">
      <c r="A497" s="1102" t="s">
        <v>2435</v>
      </c>
      <c r="B497" s="1102" t="s">
        <v>111</v>
      </c>
      <c r="C497" s="1102" t="s">
        <v>2190</v>
      </c>
      <c r="D497" s="1102" t="s">
        <v>63</v>
      </c>
      <c r="E497" s="1102" t="s">
        <v>64</v>
      </c>
      <c r="F497" s="1102" t="s">
        <v>450</v>
      </c>
      <c r="G497" s="1102" t="s">
        <v>402</v>
      </c>
      <c r="H497" s="1102" t="s">
        <v>451</v>
      </c>
      <c r="I497" s="1102" t="s">
        <v>689</v>
      </c>
      <c r="J497" s="1102" t="s">
        <v>96</v>
      </c>
      <c r="M497" s="1102" t="s">
        <v>68</v>
      </c>
      <c r="N497" s="1102">
        <v>46139</v>
      </c>
      <c r="O497" s="1102" t="s">
        <v>473</v>
      </c>
      <c r="P497" s="1102" t="s">
        <v>474</v>
      </c>
      <c r="Q497" s="1102" t="s">
        <v>1319</v>
      </c>
      <c r="R497" s="1102" t="s">
        <v>73</v>
      </c>
      <c r="S497" s="1102" t="s">
        <v>967</v>
      </c>
      <c r="T497" s="1102">
        <v>460</v>
      </c>
      <c r="U497" s="1102">
        <v>1728</v>
      </c>
      <c r="V497" s="1102">
        <v>0.79488000000000003</v>
      </c>
      <c r="W497" s="1102">
        <v>48</v>
      </c>
      <c r="X497" s="1102">
        <v>2</v>
      </c>
      <c r="Y497" s="1102" t="s">
        <v>951</v>
      </c>
      <c r="Z497" s="1102" t="s">
        <v>75</v>
      </c>
      <c r="AA497" s="1102" t="s">
        <v>2423</v>
      </c>
      <c r="AB497" s="1103">
        <v>46152</v>
      </c>
      <c r="AC497" s="1102">
        <v>19</v>
      </c>
      <c r="AD497" s="1102" t="s">
        <v>2436</v>
      </c>
      <c r="AF497" s="1102" t="s">
        <v>123</v>
      </c>
      <c r="AG497" s="1102" t="s">
        <v>123</v>
      </c>
      <c r="AH497" s="1102" t="s">
        <v>456</v>
      </c>
      <c r="AI497" s="1103">
        <v>46156</v>
      </c>
      <c r="AJ497" s="1103">
        <v>46155</v>
      </c>
      <c r="AK497" s="1103">
        <v>46154</v>
      </c>
      <c r="AL497" s="1103">
        <v>46193</v>
      </c>
      <c r="AM497" s="1103">
        <v>46212</v>
      </c>
      <c r="AN497" s="1103">
        <v>46213</v>
      </c>
      <c r="AO497" s="1102" t="s">
        <v>402</v>
      </c>
      <c r="AP497" s="1102" t="s">
        <v>2430</v>
      </c>
      <c r="AQ497" s="1102" t="s">
        <v>161</v>
      </c>
      <c r="AR497" s="1102" t="s">
        <v>2431</v>
      </c>
      <c r="AS497" s="1102" t="s">
        <v>2432</v>
      </c>
      <c r="AT497" s="1102" t="s">
        <v>2433</v>
      </c>
      <c r="AU497" s="1102">
        <v>59</v>
      </c>
      <c r="AW497" s="1103">
        <v>46213</v>
      </c>
      <c r="AX497" s="1102" t="s">
        <v>2434</v>
      </c>
      <c r="AY497" s="1103">
        <v>46219</v>
      </c>
      <c r="AZ497" s="1102">
        <v>7</v>
      </c>
      <c r="BA497" s="1103">
        <v>46220</v>
      </c>
      <c r="BB497" s="1102">
        <v>2026</v>
      </c>
      <c r="BC497" s="1102">
        <v>7</v>
      </c>
      <c r="BD497" s="1102">
        <v>29</v>
      </c>
      <c r="BE497" s="1102">
        <v>36</v>
      </c>
      <c r="BF497" s="1102">
        <v>864</v>
      </c>
      <c r="BG497" s="1102" t="s">
        <v>85</v>
      </c>
      <c r="BH497" s="1102" t="s">
        <v>109</v>
      </c>
    </row>
    <row r="498" spans="1:60">
      <c r="A498" s="1102" t="s">
        <v>2437</v>
      </c>
      <c r="B498" s="1102" t="s">
        <v>2132</v>
      </c>
      <c r="C498" s="1102" t="s">
        <v>2438</v>
      </c>
      <c r="D498" s="1102" t="s">
        <v>63</v>
      </c>
      <c r="E498" s="1102" t="s">
        <v>64</v>
      </c>
      <c r="F498" s="1102" t="s">
        <v>310</v>
      </c>
      <c r="G498" s="1102" t="s">
        <v>402</v>
      </c>
      <c r="H498" s="1102" t="s">
        <v>311</v>
      </c>
      <c r="I498" s="1102" t="s">
        <v>882</v>
      </c>
      <c r="J498" s="1102" t="s">
        <v>96</v>
      </c>
      <c r="M498" s="1102" t="s">
        <v>68</v>
      </c>
      <c r="N498" s="1102">
        <v>46146</v>
      </c>
      <c r="O498" s="1102" t="s">
        <v>170</v>
      </c>
      <c r="P498" s="1102" t="s">
        <v>1977</v>
      </c>
      <c r="Q498" s="1102" t="s">
        <v>1978</v>
      </c>
      <c r="R498" s="1102" t="s">
        <v>73</v>
      </c>
      <c r="S498" s="1102" t="s">
        <v>992</v>
      </c>
      <c r="T498" s="1102">
        <v>560</v>
      </c>
      <c r="U498" s="1102">
        <v>5280</v>
      </c>
      <c r="V498" s="1102">
        <v>2.9567999999999999</v>
      </c>
      <c r="W498" s="1102">
        <v>160</v>
      </c>
      <c r="X498" s="1102">
        <v>8</v>
      </c>
      <c r="Y498" s="1102" t="s">
        <v>951</v>
      </c>
      <c r="Z498" s="1102" t="s">
        <v>75</v>
      </c>
      <c r="AA498" s="1102" t="s">
        <v>2439</v>
      </c>
      <c r="AB498" s="1103">
        <v>46150</v>
      </c>
      <c r="AC498" s="1102">
        <v>19</v>
      </c>
      <c r="AD498" s="1102" t="s">
        <v>2440</v>
      </c>
      <c r="AF498" s="1102" t="s">
        <v>123</v>
      </c>
      <c r="AG498" s="1102" t="s">
        <v>123</v>
      </c>
      <c r="AH498" s="1102" t="s">
        <v>314</v>
      </c>
      <c r="AI498" s="1103">
        <v>46157</v>
      </c>
      <c r="AJ498" s="1103">
        <v>46157</v>
      </c>
      <c r="AK498" s="1103">
        <v>46157</v>
      </c>
      <c r="AL498" s="1103">
        <v>46204</v>
      </c>
      <c r="AM498" s="1103">
        <v>46205</v>
      </c>
      <c r="AN498" s="1103">
        <v>46205</v>
      </c>
      <c r="AO498" s="1102" t="s">
        <v>402</v>
      </c>
      <c r="AP498" s="1102" t="s">
        <v>2441</v>
      </c>
      <c r="AQ498" s="1102" t="s">
        <v>80</v>
      </c>
      <c r="AR498" s="1102" t="s">
        <v>2442</v>
      </c>
      <c r="AS498" s="1102" t="s">
        <v>2443</v>
      </c>
      <c r="AT498" s="1102" t="s">
        <v>2443</v>
      </c>
      <c r="AU498" s="1102">
        <v>48</v>
      </c>
      <c r="AW498" s="1103">
        <v>46205</v>
      </c>
      <c r="AX498" s="1102" t="s">
        <v>973</v>
      </c>
      <c r="AY498" s="1103">
        <v>46218</v>
      </c>
      <c r="AZ498" s="1102">
        <v>13</v>
      </c>
      <c r="BA498" s="1103">
        <v>46218</v>
      </c>
      <c r="BB498" s="1102">
        <v>2026</v>
      </c>
      <c r="BC498" s="1102">
        <v>7</v>
      </c>
      <c r="BD498" s="1102">
        <v>29</v>
      </c>
      <c r="BE498" s="1102">
        <v>33</v>
      </c>
      <c r="BF498" s="1102">
        <v>660</v>
      </c>
      <c r="BG498" s="1102" t="s">
        <v>108</v>
      </c>
      <c r="BH498" s="1102" t="s">
        <v>86</v>
      </c>
    </row>
    <row r="499" spans="1:60">
      <c r="A499" s="1102" t="s">
        <v>2444</v>
      </c>
      <c r="B499" s="1102" t="s">
        <v>61</v>
      </c>
      <c r="C499" s="1102" t="s">
        <v>2445</v>
      </c>
      <c r="D499" s="1102" t="s">
        <v>63</v>
      </c>
      <c r="E499" s="1102" t="s">
        <v>64</v>
      </c>
      <c r="F499" s="1102" t="s">
        <v>310</v>
      </c>
      <c r="G499" s="1102" t="s">
        <v>402</v>
      </c>
      <c r="H499" s="1102" t="s">
        <v>311</v>
      </c>
      <c r="I499" s="1102" t="s">
        <v>1395</v>
      </c>
      <c r="J499" s="1102" t="s">
        <v>96</v>
      </c>
      <c r="M499" s="1102" t="s">
        <v>68</v>
      </c>
      <c r="N499" s="1102">
        <v>46139</v>
      </c>
      <c r="O499" s="1102" t="s">
        <v>550</v>
      </c>
      <c r="P499" s="1102" t="s">
        <v>2134</v>
      </c>
      <c r="Q499" s="1102" t="s">
        <v>2135</v>
      </c>
      <c r="R499" s="1102" t="s">
        <v>73</v>
      </c>
      <c r="S499" s="1102" t="s">
        <v>2136</v>
      </c>
      <c r="T499" s="1102">
        <v>515</v>
      </c>
      <c r="U499" s="1102">
        <v>3960</v>
      </c>
      <c r="V499" s="1102">
        <v>2.0394000000000001</v>
      </c>
      <c r="W499" s="1102">
        <v>110</v>
      </c>
      <c r="X499" s="1102">
        <v>5</v>
      </c>
      <c r="Y499" s="1102" t="s">
        <v>951</v>
      </c>
      <c r="Z499" s="1102" t="s">
        <v>75</v>
      </c>
      <c r="AA499" s="1102" t="s">
        <v>2416</v>
      </c>
      <c r="AB499" s="1103">
        <v>46150</v>
      </c>
      <c r="AC499" s="1102">
        <v>19</v>
      </c>
      <c r="AD499" s="1102" t="s">
        <v>2446</v>
      </c>
      <c r="AF499" s="1102" t="s">
        <v>122</v>
      </c>
      <c r="AG499" s="1102" t="s">
        <v>123</v>
      </c>
      <c r="AH499" s="1102" t="s">
        <v>314</v>
      </c>
      <c r="AI499" s="1103">
        <v>46157</v>
      </c>
      <c r="AJ499" s="1103">
        <v>46157</v>
      </c>
      <c r="AK499" s="1103">
        <v>46157</v>
      </c>
      <c r="AL499" s="1103">
        <v>46204</v>
      </c>
      <c r="AM499" s="1103">
        <v>46205</v>
      </c>
      <c r="AN499" s="1103">
        <v>46205</v>
      </c>
      <c r="AO499" s="1102" t="s">
        <v>402</v>
      </c>
      <c r="AP499" s="1102" t="s">
        <v>2441</v>
      </c>
      <c r="AQ499" s="1102" t="s">
        <v>80</v>
      </c>
      <c r="AR499" s="1102" t="s">
        <v>2442</v>
      </c>
      <c r="AS499" s="1102" t="s">
        <v>2443</v>
      </c>
      <c r="AT499" s="1102" t="s">
        <v>2443</v>
      </c>
      <c r="AU499" s="1102">
        <v>48</v>
      </c>
      <c r="AW499" s="1103">
        <v>46205</v>
      </c>
      <c r="AX499" s="1102" t="s">
        <v>973</v>
      </c>
      <c r="AY499" s="1103">
        <v>46218</v>
      </c>
      <c r="AZ499" s="1102">
        <v>13</v>
      </c>
      <c r="BA499" s="1103">
        <v>46218</v>
      </c>
      <c r="BB499" s="1102">
        <v>2026</v>
      </c>
      <c r="BC499" s="1102">
        <v>7</v>
      </c>
      <c r="BD499" s="1102">
        <v>29</v>
      </c>
      <c r="BE499" s="1102">
        <v>36</v>
      </c>
      <c r="BF499" s="1102">
        <v>792</v>
      </c>
      <c r="BG499" s="1102" t="s">
        <v>85</v>
      </c>
      <c r="BH499" s="1102" t="s">
        <v>86</v>
      </c>
    </row>
    <row r="500" spans="1:60">
      <c r="A500" s="1102" t="s">
        <v>2447</v>
      </c>
      <c r="B500" s="1102" t="s">
        <v>61</v>
      </c>
      <c r="C500" s="1102" t="s">
        <v>2415</v>
      </c>
      <c r="D500" s="1102" t="s">
        <v>63</v>
      </c>
      <c r="E500" s="1102" t="s">
        <v>64</v>
      </c>
      <c r="F500" s="1102" t="s">
        <v>65</v>
      </c>
      <c r="G500" s="1102" t="s">
        <v>402</v>
      </c>
      <c r="H500" s="1102" t="s">
        <v>67</v>
      </c>
      <c r="I500" s="1102" t="s">
        <v>1395</v>
      </c>
      <c r="J500" s="1102" t="s">
        <v>96</v>
      </c>
      <c r="M500" s="1102" t="s">
        <v>68</v>
      </c>
      <c r="N500" s="1102">
        <v>46139</v>
      </c>
      <c r="O500" s="1102" t="s">
        <v>550</v>
      </c>
      <c r="P500" s="1102" t="s">
        <v>551</v>
      </c>
      <c r="Q500" s="1102" t="s">
        <v>2151</v>
      </c>
      <c r="R500" s="1102" t="s">
        <v>73</v>
      </c>
      <c r="S500" s="1102" t="s">
        <v>2136</v>
      </c>
      <c r="T500" s="1102">
        <v>510</v>
      </c>
      <c r="U500" s="1102">
        <v>792</v>
      </c>
      <c r="V500" s="1102">
        <v>0.40392</v>
      </c>
      <c r="W500" s="1102">
        <v>22</v>
      </c>
      <c r="X500" s="1102">
        <v>1</v>
      </c>
      <c r="Y500" s="1102" t="s">
        <v>951</v>
      </c>
      <c r="Z500" s="1102" t="s">
        <v>75</v>
      </c>
      <c r="AB500" s="1103">
        <v>46142</v>
      </c>
      <c r="AC500" s="1102">
        <v>18</v>
      </c>
      <c r="AD500" s="1102" t="s">
        <v>2448</v>
      </c>
      <c r="AF500" s="1102" t="s">
        <v>61</v>
      </c>
      <c r="AG500" s="1102" t="s">
        <v>61</v>
      </c>
      <c r="AH500" s="1102" t="s">
        <v>356</v>
      </c>
      <c r="AI500" s="1103">
        <v>46155</v>
      </c>
      <c r="AJ500" s="1103">
        <v>46155</v>
      </c>
      <c r="AK500" s="1103">
        <v>46155</v>
      </c>
      <c r="AL500" s="1103">
        <v>46203</v>
      </c>
      <c r="AN500" s="1103">
        <v>46202</v>
      </c>
      <c r="AO500" s="1102" t="s">
        <v>402</v>
      </c>
      <c r="AP500" s="1102" t="s">
        <v>2449</v>
      </c>
      <c r="AQ500" s="1102" t="s">
        <v>80</v>
      </c>
      <c r="AR500" s="1102" t="s">
        <v>2450</v>
      </c>
      <c r="AS500" s="1102" t="s">
        <v>2451</v>
      </c>
      <c r="AT500" s="1102" t="s">
        <v>2451</v>
      </c>
      <c r="AU500" s="1102">
        <v>47</v>
      </c>
      <c r="AW500" s="1103">
        <v>46202</v>
      </c>
      <c r="AX500" s="1102" t="s">
        <v>973</v>
      </c>
      <c r="AY500" s="1103">
        <v>46216</v>
      </c>
      <c r="AZ500" s="1102">
        <v>8</v>
      </c>
      <c r="BA500" s="1103">
        <v>46210</v>
      </c>
      <c r="BB500" s="1102">
        <v>2026</v>
      </c>
      <c r="BC500" s="1102">
        <v>7</v>
      </c>
      <c r="BD500" s="1102">
        <v>28</v>
      </c>
      <c r="BE500" s="1102">
        <v>36</v>
      </c>
      <c r="BF500" s="1102">
        <v>792</v>
      </c>
      <c r="BG500" s="1102" t="s">
        <v>85</v>
      </c>
      <c r="BH500" s="110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32" priority="3"/>
  </conditionalFormatting>
  <conditionalFormatting sqref="M1">
    <cfRule type="cellIs" dxfId="131" priority="1" operator="equal">
      <formula>"No"</formula>
    </cfRule>
    <cfRule type="cellIs" dxfId="130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H157"/>
  <sheetViews>
    <sheetView zoomScale="130" zoomScaleNormal="130" workbookViewId="0">
      <pane ySplit="1" topLeftCell="A4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customWidth="1" collapsed="1"/>
    <col min="16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 hidden="1">
      <c r="A2" s="1438" t="s">
        <v>109</v>
      </c>
      <c r="B2" s="1438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19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2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36</v>
      </c>
      <c r="AB2" s="505" t="s">
        <v>197</v>
      </c>
      <c r="AD2" s="508"/>
      <c r="AE2" s="508"/>
      <c r="AF2" s="508"/>
      <c r="AG2" s="508"/>
      <c r="AH2" s="508"/>
    </row>
    <row r="3" spans="1:34" ht="13" hidden="1">
      <c r="A3" s="1439"/>
      <c r="B3" s="1438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439"/>
      <c r="B4" s="1438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3</v>
      </c>
      <c r="W4" s="524">
        <f>W3-W2</f>
        <v>5</v>
      </c>
      <c r="X4" s="524">
        <f>X3-X2</f>
        <v>0</v>
      </c>
      <c r="Y4" s="513">
        <f>SUMIF($E4:$X4,"&gt;0")</f>
        <v>30</v>
      </c>
      <c r="Z4" s="513">
        <f>SUMIF($E4:$X4,"&lt;0")</f>
        <v>-8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 hidden="1">
      <c r="A5" s="1439"/>
      <c r="B5" s="1438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 hidden="1">
      <c r="A6" s="1439"/>
      <c r="B6" s="1438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286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31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51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18</v>
      </c>
      <c r="Y6" s="507" t="s">
        <v>197</v>
      </c>
      <c r="Z6" s="507" t="s">
        <v>197</v>
      </c>
      <c r="AA6" s="698">
        <f>SUM(E6:X6)</f>
        <v>686.78964644051598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 hidden="1">
      <c r="A7" s="1439"/>
      <c r="B7" s="1439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439"/>
      <c r="B8" s="1439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-4</v>
      </c>
      <c r="V8" s="524">
        <f>V7-V6</f>
        <v>5</v>
      </c>
      <c r="W8" s="524">
        <f>W7-W6</f>
        <v>-15</v>
      </c>
      <c r="X8" s="524">
        <f>X7-X6</f>
        <v>6</v>
      </c>
      <c r="Y8" s="513">
        <f>SUMIF($E8:$X8,"&gt;0")</f>
        <v>170</v>
      </c>
      <c r="Z8" s="513">
        <f>SUMIF($E8:$X8,"&lt;0")</f>
        <v>-160.78964644051601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 hidden="1">
      <c r="A9" s="1439"/>
      <c r="B9" s="1440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38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31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45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18</v>
      </c>
      <c r="Y9" s="513"/>
      <c r="Z9" s="513"/>
      <c r="AA9" s="698">
        <f>SUM(E9:X9)</f>
        <v>670.78964644051598</v>
      </c>
      <c r="AB9" s="505"/>
      <c r="AC9" s="508"/>
      <c r="AD9" s="508"/>
      <c r="AE9" s="508"/>
      <c r="AF9" s="508"/>
      <c r="AG9" s="508"/>
      <c r="AH9" s="508"/>
    </row>
    <row r="10" spans="1:34" ht="13" hidden="1">
      <c r="A10" s="1439"/>
      <c r="B10" s="1438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 hidden="1">
      <c r="A11" s="1439"/>
      <c r="B11" s="1439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439"/>
      <c r="B12" s="1439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 hidden="1">
      <c r="A13" s="1439"/>
      <c r="B13" s="1440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hidden="1" customHeight="1">
      <c r="A14" s="1439"/>
      <c r="B14" s="1438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hidden="1" customHeight="1">
      <c r="A15" s="1439"/>
      <c r="B15" s="1439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439"/>
      <c r="B16" s="1439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hidden="1" customHeight="1">
      <c r="A17" s="1439"/>
      <c r="B17" s="1440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 hidden="1">
      <c r="A18" s="1439"/>
      <c r="B18" s="1438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 hidden="1">
      <c r="A19" s="1439"/>
      <c r="B19" s="1439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439"/>
      <c r="B20" s="1439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 hidden="1">
      <c r="A21" s="1440"/>
      <c r="B21" s="1440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26</v>
      </c>
      <c r="AB21" s="505"/>
      <c r="AC21" s="508"/>
      <c r="AD21" s="508"/>
      <c r="AE21" s="508"/>
      <c r="AF21" s="508"/>
      <c r="AG21" s="508"/>
      <c r="AH21" s="508"/>
    </row>
    <row r="22" spans="1:34" ht="27" hidden="1" customHeight="1">
      <c r="A22" s="1432" t="s">
        <v>2481</v>
      </c>
      <c r="B22" s="1433"/>
      <c r="C22" s="696" t="s">
        <v>2477</v>
      </c>
      <c r="D22" s="517">
        <f>D2+D6++D10+D18+D14</f>
        <v>326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53</v>
      </c>
      <c r="V22" s="517">
        <f t="shared" si="7"/>
        <v>38</v>
      </c>
      <c r="W22" s="517">
        <f t="shared" si="7"/>
        <v>56</v>
      </c>
      <c r="X22" s="517">
        <f t="shared" si="7"/>
        <v>18</v>
      </c>
      <c r="Y22" s="507" t="s">
        <v>197</v>
      </c>
      <c r="Z22" s="507" t="s">
        <v>197</v>
      </c>
      <c r="AA22" s="699">
        <f>SUM(E22:X22)</f>
        <v>762.78964644051598</v>
      </c>
      <c r="AB22" s="505" t="s">
        <v>197</v>
      </c>
      <c r="AC22" s="698">
        <f>SUM(T22:X22)</f>
        <v>204</v>
      </c>
      <c r="AD22" s="508">
        <f t="shared" si="1"/>
        <v>134.78964644051601</v>
      </c>
      <c r="AE22" s="508"/>
      <c r="AF22" s="508"/>
      <c r="AG22" s="508"/>
      <c r="AH22" s="508"/>
    </row>
    <row r="23" spans="1:34" ht="13" hidden="1">
      <c r="A23" s="1434"/>
      <c r="B23" s="1435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434"/>
      <c r="B24" s="1435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-4</v>
      </c>
      <c r="V24" s="525">
        <f t="shared" si="11"/>
        <v>3</v>
      </c>
      <c r="W24" s="525">
        <f t="shared" si="11"/>
        <v>-15</v>
      </c>
      <c r="X24" s="525">
        <f t="shared" si="11"/>
        <v>6</v>
      </c>
      <c r="Y24" s="513">
        <f>SUMIF($E24:$X24,"&gt;0")</f>
        <v>158</v>
      </c>
      <c r="Z24" s="513">
        <f>SUMIF($E24:$X24,"&lt;0")</f>
        <v>-150.78964644051601</v>
      </c>
      <c r="AA24" s="513"/>
      <c r="AB24" s="505" t="s">
        <v>197</v>
      </c>
      <c r="AC24" s="508"/>
      <c r="AD24" s="965">
        <f>SUM(G24:J24)</f>
        <v>-23.789646440516005</v>
      </c>
      <c r="AE24" s="508"/>
      <c r="AF24" s="508"/>
      <c r="AG24" s="508"/>
      <c r="AH24" s="508"/>
    </row>
    <row r="25" spans="1:34" ht="13" hidden="1">
      <c r="A25" s="1436"/>
      <c r="B25" s="1437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43</v>
      </c>
      <c r="V25" s="525">
        <f t="shared" si="12"/>
        <v>36</v>
      </c>
      <c r="W25" s="525">
        <f t="shared" si="12"/>
        <v>50</v>
      </c>
      <c r="X25" s="525">
        <f t="shared" si="12"/>
        <v>18</v>
      </c>
      <c r="Y25" s="513"/>
      <c r="Z25" s="513"/>
      <c r="AA25" s="699">
        <f>SUM(E25:X25)</f>
        <v>744.78964644051598</v>
      </c>
      <c r="AB25" s="505"/>
      <c r="AC25" s="698">
        <f>SUM(T25:X25)</f>
        <v>186</v>
      </c>
      <c r="AD25" s="695"/>
      <c r="AE25" s="508"/>
      <c r="AF25" s="508"/>
      <c r="AG25" s="508"/>
      <c r="AH25" s="508"/>
    </row>
    <row r="26" spans="1:34" ht="13" hidden="1">
      <c r="A26" s="1438" t="s">
        <v>86</v>
      </c>
      <c r="B26" s="1438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108.86071428571429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7" t="s">
        <v>197</v>
      </c>
      <c r="Z26" s="507" t="s">
        <v>197</v>
      </c>
      <c r="AA26" s="698">
        <f>SUM(E26:X26)</f>
        <v>332.85785714285714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 hidden="1">
      <c r="A27" s="1439"/>
      <c r="B27" s="1439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439"/>
      <c r="B28" s="1439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9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2</v>
      </c>
      <c r="X28" s="524">
        <f t="shared" si="13"/>
        <v>6</v>
      </c>
      <c r="Y28" s="513">
        <f>SUMIF($E28:$X28,"&gt;0")</f>
        <v>84.001071428571436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 hidden="1">
      <c r="A29" s="1439"/>
      <c r="B29" s="1440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15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6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3"/>
      <c r="Z29" s="513"/>
      <c r="AA29" s="698">
        <f>SUM(E29:X29)</f>
        <v>318.85785714285714</v>
      </c>
      <c r="AB29" s="505"/>
      <c r="AC29" s="508"/>
      <c r="AD29" s="508"/>
      <c r="AE29" s="508"/>
      <c r="AF29" s="508"/>
      <c r="AG29" s="508"/>
      <c r="AH29" s="508"/>
    </row>
    <row r="30" spans="1:34" ht="13" hidden="1">
      <c r="A30" s="1439"/>
      <c r="B30" s="1438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12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7" t="s">
        <v>197</v>
      </c>
      <c r="Z30" s="507" t="s">
        <v>197</v>
      </c>
      <c r="AA30" s="698">
        <f>SUM(E30:X30)</f>
        <v>26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 hidden="1">
      <c r="A31" s="1439"/>
      <c r="B31" s="1439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439"/>
      <c r="B32" s="1439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-5</v>
      </c>
      <c r="Y32" s="513">
        <f>SUMIF($E32:$X32,"&gt;0")</f>
        <v>37</v>
      </c>
      <c r="Z32" s="513">
        <f>SUMIF($E32:$X32,"&lt;0")</f>
        <v>-18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 hidden="1">
      <c r="A33" s="1439"/>
      <c r="B33" s="1440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3"/>
      <c r="Z33" s="513"/>
      <c r="AA33" s="698">
        <f>SUM(E33:X33)</f>
        <v>21</v>
      </c>
      <c r="AB33" s="505"/>
      <c r="AC33" s="508"/>
      <c r="AD33" s="508"/>
      <c r="AE33" s="508"/>
      <c r="AF33" s="508"/>
      <c r="AG33" s="508"/>
      <c r="AH33" s="508"/>
    </row>
    <row r="34" spans="1:34" ht="13" hidden="1">
      <c r="A34" s="1439"/>
      <c r="B34" s="1438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7" t="s">
        <v>197</v>
      </c>
      <c r="Z34" s="507" t="s">
        <v>197</v>
      </c>
      <c r="AA34" s="698">
        <f>SUM(E34:X34)</f>
        <v>26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 hidden="1">
      <c r="A35" s="1439"/>
      <c r="B35" s="1439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439"/>
      <c r="B36" s="1439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-3</v>
      </c>
      <c r="Y36" s="513">
        <f>SUMIF($E36:$X36,"&gt;0")</f>
        <v>25</v>
      </c>
      <c r="Z36" s="513">
        <f>SUMIF($E36:$X36,"&lt;0")</f>
        <v>-8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 hidden="1">
      <c r="A37" s="1439"/>
      <c r="B37" s="1440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19</v>
      </c>
      <c r="AB37" s="505"/>
      <c r="AC37" s="508"/>
      <c r="AD37" s="508"/>
      <c r="AE37" s="508"/>
      <c r="AF37" s="508"/>
      <c r="AG37" s="508"/>
      <c r="AH37" s="508"/>
    </row>
    <row r="38" spans="1:34" ht="13" hidden="1">
      <c r="A38" s="1439"/>
      <c r="B38" s="1438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25.99818181818182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7" t="s">
        <v>197</v>
      </c>
      <c r="Z38" s="507" t="s">
        <v>197</v>
      </c>
      <c r="AA38" s="698">
        <f>SUM(E38:X38)</f>
        <v>37.06818181818182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 hidden="1">
      <c r="A39" s="1439"/>
      <c r="B39" s="1439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439"/>
      <c r="B40" s="1439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0</v>
      </c>
      <c r="Y40" s="513">
        <f>SUMIF($E40:$X40,"&gt;0")</f>
        <v>30.00181818181818</v>
      </c>
      <c r="Z40" s="513">
        <f>SUMIF($E40:$X40,"&lt;0")</f>
        <v>-4.07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 hidden="1">
      <c r="A41" s="1439"/>
      <c r="B41" s="1440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3"/>
      <c r="Z41" s="513"/>
      <c r="AA41" s="698">
        <f>SUM(E41:X41)</f>
        <v>37.06818181818182</v>
      </c>
      <c r="AB41" s="505"/>
      <c r="AC41" s="508"/>
      <c r="AD41" s="508"/>
      <c r="AE41" s="508"/>
      <c r="AF41" s="508"/>
      <c r="AG41" s="508"/>
      <c r="AH41" s="508"/>
    </row>
    <row r="42" spans="1:34" ht="13" hidden="1">
      <c r="A42" s="1439"/>
      <c r="B42" s="1438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 hidden="1">
      <c r="A43" s="1439"/>
      <c r="B43" s="1439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439"/>
      <c r="B44" s="1439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 hidden="1">
      <c r="A45" s="1440"/>
      <c r="B45" s="1440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hidden="1" customHeight="1">
      <c r="A46" s="1432" t="s">
        <v>2483</v>
      </c>
      <c r="B46" s="1433"/>
      <c r="C46" s="516" t="s">
        <v>2477</v>
      </c>
      <c r="D46" s="517">
        <f t="shared" ref="D46:R46" si="18">D26+D30++D34+D38</f>
        <v>152.85889610389611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v>102</v>
      </c>
      <c r="Q46" s="517">
        <f t="shared" si="18"/>
        <v>23.001785714285713</v>
      </c>
      <c r="R46" s="517">
        <f t="shared" si="18"/>
        <v>33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14</v>
      </c>
      <c r="X46" s="517">
        <f t="shared" si="19"/>
        <v>17</v>
      </c>
      <c r="Y46" s="507" t="s">
        <v>197</v>
      </c>
      <c r="Z46" s="507" t="s">
        <v>197</v>
      </c>
      <c r="AA46" s="699">
        <f>SUM(E46:X46)</f>
        <v>544.9260389610389</v>
      </c>
      <c r="AB46" s="505" t="s">
        <v>197</v>
      </c>
      <c r="AC46" s="698">
        <f>SUM(T46:X46)</f>
        <v>116</v>
      </c>
      <c r="AD46" s="508">
        <f t="shared" si="1"/>
        <v>109.07</v>
      </c>
      <c r="AE46" s="508"/>
      <c r="AF46" s="508"/>
      <c r="AG46" s="508"/>
      <c r="AH46" s="508"/>
    </row>
    <row r="47" spans="1:34" ht="13" hidden="1">
      <c r="A47" s="1434"/>
      <c r="B47" s="1435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434"/>
      <c r="B48" s="1435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5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3</v>
      </c>
      <c r="X48" s="525">
        <f t="shared" si="19"/>
        <v>-2</v>
      </c>
      <c r="Y48" s="513">
        <f>SUMIF($E48:$X48,"&gt;0")</f>
        <v>142.00288961038962</v>
      </c>
      <c r="Z48" s="513">
        <f>SUMIF($E48:$X48,"&lt;0")</f>
        <v>-65.928928571428571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 hidden="1">
      <c r="A49" s="1436"/>
      <c r="B49" s="1437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29</v>
      </c>
      <c r="V49" s="517">
        <f t="shared" si="19"/>
        <v>29</v>
      </c>
      <c r="W49" s="517">
        <f t="shared" si="19"/>
        <v>7</v>
      </c>
      <c r="X49" s="517">
        <f t="shared" si="19"/>
        <v>0</v>
      </c>
      <c r="Y49" s="513"/>
      <c r="Z49" s="513"/>
      <c r="AA49" s="699">
        <f>SUM(E49:X49)</f>
        <v>450.9260389610389</v>
      </c>
      <c r="AB49" s="505"/>
      <c r="AC49" s="698">
        <f>SUM(T49:W49)</f>
        <v>91</v>
      </c>
      <c r="AD49" s="695"/>
      <c r="AE49" s="508"/>
      <c r="AF49" s="508"/>
      <c r="AG49" s="508"/>
      <c r="AH49" s="508"/>
    </row>
    <row r="50" spans="1:34" ht="13" hidden="1">
      <c r="A50" s="1431" t="s">
        <v>2475</v>
      </c>
      <c r="B50" s="1431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 hidden="1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 hidden="1">
      <c r="A52" s="1438" t="s">
        <v>109</v>
      </c>
      <c r="B52" s="1438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 hidden="1">
      <c r="A53" s="1439"/>
      <c r="B53" s="1439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439"/>
      <c r="B54" s="1439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 hidden="1">
      <c r="A55" s="1439"/>
      <c r="B55" s="1440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 hidden="1">
      <c r="A56" s="1439"/>
      <c r="B56" s="1438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19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6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23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 hidden="1">
      <c r="A57" s="1439"/>
      <c r="B57" s="1439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439"/>
      <c r="B58" s="1439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-6</v>
      </c>
      <c r="W58" s="524">
        <f t="shared" si="24"/>
        <v>1</v>
      </c>
      <c r="X58" s="524">
        <f t="shared" si="24"/>
        <v>1</v>
      </c>
      <c r="Y58" s="513">
        <f>SUMIF($E58:$X58,"&gt;0")</f>
        <v>7</v>
      </c>
      <c r="Z58" s="513">
        <f>SUMIF($E58:$X58,"&lt;0")</f>
        <v>-11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 hidden="1">
      <c r="A59" s="1439"/>
      <c r="B59" s="1440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3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20</v>
      </c>
      <c r="AB59" s="505"/>
      <c r="AC59" s="508"/>
      <c r="AD59" s="508"/>
      <c r="AE59" s="508"/>
      <c r="AF59" s="508"/>
      <c r="AG59" s="508"/>
      <c r="AH59" s="508"/>
    </row>
    <row r="60" spans="1:34" ht="13" hidden="1">
      <c r="A60" s="1439"/>
      <c r="B60" s="1438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 hidden="1">
      <c r="A61" s="1439"/>
      <c r="B61" s="1439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439"/>
      <c r="B62" s="1439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 hidden="1">
      <c r="A63" s="1439"/>
      <c r="B63" s="1440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0</v>
      </c>
      <c r="AB63" s="505"/>
      <c r="AC63" s="508"/>
      <c r="AD63" s="508"/>
      <c r="AE63" s="508"/>
      <c r="AF63" s="508"/>
      <c r="AG63" s="508"/>
      <c r="AH63" s="508"/>
    </row>
    <row r="64" spans="1:34" ht="13" hidden="1">
      <c r="A64" s="1439"/>
      <c r="B64" s="1438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286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 hidden="1">
      <c r="A65" s="1439"/>
      <c r="B65" s="1439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439"/>
      <c r="B66" s="1439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 hidden="1">
      <c r="A67" s="1439"/>
      <c r="B67" s="1440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187</v>
      </c>
      <c r="AB67" s="505"/>
      <c r="AC67" s="508"/>
      <c r="AD67" s="508"/>
      <c r="AE67" s="508"/>
      <c r="AF67" s="508"/>
      <c r="AG67" s="508"/>
      <c r="AH67" s="508"/>
    </row>
    <row r="68" spans="1:34" ht="13" hidden="1">
      <c r="A68" s="1439"/>
      <c r="B68" s="1438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 hidden="1">
      <c r="A69" s="1439"/>
      <c r="B69" s="1439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439"/>
      <c r="B70" s="1439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hidden="1" customHeight="1">
      <c r="A71" s="1440"/>
      <c r="B71" s="1440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 hidden="1">
      <c r="A72" s="1432" t="s">
        <v>2484</v>
      </c>
      <c r="B72" s="1433"/>
      <c r="C72" s="516" t="s">
        <v>2477</v>
      </c>
      <c r="D72" s="517">
        <f t="shared" ref="D72:X72" si="28">D52+D56+D60+D64+D68</f>
        <v>315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6</v>
      </c>
      <c r="W72" s="517">
        <f t="shared" si="28"/>
        <v>3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221</v>
      </c>
      <c r="AB72" s="505" t="s">
        <v>197</v>
      </c>
      <c r="AC72" s="698">
        <f>SUM(T72:X72)</f>
        <v>44</v>
      </c>
      <c r="AD72" s="508">
        <f t="shared" si="1"/>
        <v>32</v>
      </c>
      <c r="AE72" s="508"/>
      <c r="AF72" s="508"/>
      <c r="AG72" s="508"/>
      <c r="AH72" s="508"/>
    </row>
    <row r="73" spans="1:34" ht="13" hidden="1">
      <c r="A73" s="1434"/>
      <c r="B73" s="1435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434"/>
      <c r="B74" s="1435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2</v>
      </c>
      <c r="W74" s="525">
        <f t="shared" si="30"/>
        <v>6</v>
      </c>
      <c r="X74" s="525">
        <f t="shared" si="30"/>
        <v>9</v>
      </c>
      <c r="Y74" s="513">
        <f>SUMIF($E74:$X74,"&gt;0")</f>
        <v>115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 hidden="1">
      <c r="A75" s="1436"/>
      <c r="B75" s="1437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0</v>
      </c>
      <c r="V75" s="525">
        <f t="shared" si="31"/>
        <v>3</v>
      </c>
      <c r="W75" s="525">
        <f t="shared" si="31"/>
        <v>0</v>
      </c>
      <c r="X75" s="525">
        <f t="shared" si="31"/>
        <v>0</v>
      </c>
      <c r="Y75" s="513"/>
      <c r="Z75" s="513"/>
      <c r="AA75" s="699">
        <f>SUM(E75:X75)</f>
        <v>212</v>
      </c>
      <c r="AB75" s="505"/>
      <c r="AC75" s="698">
        <f>SUM(T75:W75)</f>
        <v>35</v>
      </c>
      <c r="AD75" s="695"/>
      <c r="AE75" s="508"/>
      <c r="AF75" s="508"/>
      <c r="AG75" s="508"/>
      <c r="AH75" s="508"/>
    </row>
    <row r="76" spans="1:34" ht="13" hidden="1">
      <c r="A76" s="1438" t="s">
        <v>86</v>
      </c>
      <c r="B76" s="1438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108.86071428571429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5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6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12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 hidden="1">
      <c r="A77" s="1439"/>
      <c r="B77" s="1439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439"/>
      <c r="B78" s="1439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1</v>
      </c>
      <c r="V78" s="524">
        <f t="shared" si="33"/>
        <v>-4</v>
      </c>
      <c r="W78" s="524">
        <f t="shared" si="33"/>
        <v>-6</v>
      </c>
      <c r="X78" s="524">
        <f t="shared" si="33"/>
        <v>6</v>
      </c>
      <c r="Y78" s="513">
        <f>SUMIF($E78:$X78,"&gt;0")</f>
        <v>20</v>
      </c>
      <c r="Z78" s="513">
        <f>SUMIF($E78:$X78,"&lt;0")</f>
        <v>-27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 hidden="1">
      <c r="A79" s="1439"/>
      <c r="B79" s="1440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2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6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12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84</v>
      </c>
      <c r="AB79" s="505"/>
      <c r="AC79" s="508"/>
      <c r="AD79" s="508"/>
      <c r="AE79" s="508"/>
      <c r="AF79" s="508"/>
      <c r="AG79" s="508"/>
      <c r="AH79" s="508"/>
    </row>
    <row r="80" spans="1:34" ht="13" hidden="1">
      <c r="A80" s="1439"/>
      <c r="B80" s="1438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12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 hidden="1">
      <c r="A81" s="1439"/>
      <c r="B81" s="1439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439"/>
      <c r="B82" s="1439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 hidden="1">
      <c r="A83" s="1439"/>
      <c r="B83" s="1440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 hidden="1">
      <c r="A84" s="1439"/>
      <c r="B84" s="1438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25.99818181818182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 hidden="1">
      <c r="A85" s="1439"/>
      <c r="B85" s="1439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439"/>
      <c r="B86" s="1439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 hidden="1">
      <c r="A87" s="1439"/>
      <c r="B87" s="1440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 hidden="1">
      <c r="A88" s="1439"/>
      <c r="B88" s="1438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 hidden="1">
      <c r="A89" s="1439"/>
      <c r="B89" s="1439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0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439"/>
      <c r="B90" s="1439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0</v>
      </c>
      <c r="W90" s="524">
        <f t="shared" si="36"/>
        <v>1</v>
      </c>
      <c r="X90" s="524">
        <f t="shared" si="36"/>
        <v>1</v>
      </c>
      <c r="Y90" s="513">
        <f>SUMIF($E90:$X90,"&gt;0")</f>
        <v>8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 hidden="1">
      <c r="A91" s="1440"/>
      <c r="B91" s="1440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hidden="1" customHeight="1">
      <c r="A92" s="1432" t="s">
        <v>2485</v>
      </c>
      <c r="B92" s="1433"/>
      <c r="C92" s="516" t="s">
        <v>2477</v>
      </c>
      <c r="D92" s="517">
        <f t="shared" ref="D92:X92" si="37">D76+D80++D84+D88</f>
        <v>152.85889610389611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5</v>
      </c>
      <c r="V92" s="517">
        <f t="shared" si="37"/>
        <v>6</v>
      </c>
      <c r="W92" s="517">
        <f t="shared" si="37"/>
        <v>12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 hidden="1">
      <c r="A93" s="1434"/>
      <c r="B93" s="1435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2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434"/>
      <c r="B94" s="1435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1</v>
      </c>
      <c r="V94" s="525">
        <f t="shared" si="40"/>
        <v>-4</v>
      </c>
      <c r="W94" s="525">
        <f t="shared" si="40"/>
        <v>-5</v>
      </c>
      <c r="X94" s="525">
        <f t="shared" si="40"/>
        <v>7</v>
      </c>
      <c r="Y94" s="513">
        <f>SUMIF($E94:$X94,"&gt;0")</f>
        <v>37</v>
      </c>
      <c r="Z94" s="513">
        <f>SUMIF($E94:$X94,"&lt;0")</f>
        <v>-28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 hidden="1">
      <c r="A95" s="1436"/>
      <c r="B95" s="1437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2</v>
      </c>
      <c r="V95" s="525">
        <f t="shared" si="41"/>
        <v>6</v>
      </c>
      <c r="W95" s="525">
        <f t="shared" si="41"/>
        <v>12</v>
      </c>
      <c r="X95" s="525">
        <f t="shared" si="41"/>
        <v>0</v>
      </c>
      <c r="Y95" s="513"/>
      <c r="Z95" s="513"/>
      <c r="AA95" s="699">
        <f>SUM(E95:X95)</f>
        <v>99</v>
      </c>
      <c r="AB95" s="505"/>
      <c r="AC95" s="698">
        <f>SUM(T95:W95)</f>
        <v>26</v>
      </c>
      <c r="AD95" s="695"/>
      <c r="AE95" s="508"/>
      <c r="AF95" s="508"/>
      <c r="AG95" s="508"/>
      <c r="AH95" s="508"/>
    </row>
    <row r="96" spans="1:34" ht="13" hidden="1">
      <c r="A96" s="1431" t="s">
        <v>2475</v>
      </c>
      <c r="B96" s="1431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 hidden="1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 hidden="1">
      <c r="A98" s="1438" t="s">
        <v>109</v>
      </c>
      <c r="B98" s="1438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0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20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 hidden="1">
      <c r="A99" s="1439"/>
      <c r="B99" s="1439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439"/>
      <c r="B100" s="1439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2</v>
      </c>
      <c r="W100" s="524">
        <f t="shared" si="42"/>
        <v>2</v>
      </c>
      <c r="X100" s="524">
        <f t="shared" si="42"/>
        <v>0</v>
      </c>
      <c r="Y100" s="513">
        <f>SUMIF($E100:$X100,"&gt;0")</f>
        <v>12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 hidden="1">
      <c r="A101" s="1439"/>
      <c r="B101" s="1440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20</v>
      </c>
      <c r="AB101" s="505"/>
      <c r="AC101" s="508"/>
      <c r="AD101" s="536"/>
      <c r="AE101" s="508"/>
      <c r="AF101" s="508"/>
      <c r="AG101" s="508"/>
      <c r="AH101" s="508"/>
    </row>
    <row r="102" spans="1:34" ht="13" hidden="1">
      <c r="A102" s="1439"/>
      <c r="B102" s="1438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18</v>
      </c>
      <c r="W102" s="506">
        <f>SUMIFS('PV SUPPLY DATA'!$X:$X,'PV SUPPLY DATA'!$Y:$Y,'CT capacity tracker'!W$1,'PV SUPPLY DATA'!$AG:$AG,'CT capacity tracker'!$A$97,'PV SUPPLY DATA'!$AH:$AH,'CT capacity tracker'!$B$102)</f>
        <v>4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61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 hidden="1">
      <c r="A103" s="1439"/>
      <c r="B103" s="1439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439"/>
      <c r="B104" s="1439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-10</v>
      </c>
      <c r="W104" s="524">
        <f t="shared" si="44"/>
        <v>4</v>
      </c>
      <c r="X104" s="524">
        <f t="shared" si="44"/>
        <v>0</v>
      </c>
      <c r="Y104" s="513">
        <f>SUMIF($E104:$X104,"&gt;0")</f>
        <v>33</v>
      </c>
      <c r="Z104" s="513">
        <f>SUMIF($E104:$X104,"&lt;0")</f>
        <v>-24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 hidden="1">
      <c r="A105" s="1439"/>
      <c r="B105" s="1440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1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50</v>
      </c>
      <c r="AB105" s="505"/>
      <c r="AC105" s="508"/>
      <c r="AD105" s="508"/>
      <c r="AE105" s="508"/>
      <c r="AF105" s="508"/>
      <c r="AG105" s="508"/>
      <c r="AH105" s="508"/>
    </row>
    <row r="106" spans="1:34" ht="13" hidden="1">
      <c r="A106" s="1439"/>
      <c r="B106" s="1438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 hidden="1">
      <c r="A107" s="1439"/>
      <c r="B107" s="1439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439"/>
      <c r="B108" s="1439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 hidden="1">
      <c r="A109" s="1439"/>
      <c r="B109" s="1440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hidden="1" customHeight="1">
      <c r="A110" s="1439"/>
      <c r="B110" s="1438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hidden="1" customHeight="1">
      <c r="A111" s="1439"/>
      <c r="B111" s="1439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439"/>
      <c r="B112" s="1439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hidden="1" customHeight="1">
      <c r="A113" s="1439"/>
      <c r="B113" s="1440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 hidden="1">
      <c r="A114" s="1439"/>
      <c r="B114" s="1438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 hidden="1">
      <c r="A115" s="1439"/>
      <c r="B115" s="1439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439"/>
      <c r="B116" s="1439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 hidden="1">
      <c r="A117" s="1440"/>
      <c r="B117" s="1440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hidden="1" customHeight="1">
      <c r="A118" s="1432" t="s">
        <v>2487</v>
      </c>
      <c r="B118" s="1433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18</v>
      </c>
      <c r="W118" s="517">
        <f t="shared" si="49"/>
        <v>4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103</v>
      </c>
      <c r="AB118" s="505" t="s">
        <v>197</v>
      </c>
      <c r="AC118" s="698">
        <f>SUM(T118:X118)</f>
        <v>34</v>
      </c>
      <c r="AD118" s="508">
        <f t="shared" si="43"/>
        <v>9</v>
      </c>
      <c r="AE118" s="508"/>
      <c r="AF118" s="508"/>
      <c r="AG118" s="508"/>
      <c r="AH118" s="508"/>
    </row>
    <row r="119" spans="1:34" ht="13" hidden="1">
      <c r="A119" s="1434"/>
      <c r="B119" s="1435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434"/>
      <c r="B120" s="1435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-8</v>
      </c>
      <c r="W120" s="525">
        <f t="shared" si="54"/>
        <v>6</v>
      </c>
      <c r="X120" s="525">
        <f t="shared" si="54"/>
        <v>0</v>
      </c>
      <c r="Y120" s="513">
        <f>SUMIF($E120:$X120,"&gt;0")</f>
        <v>37</v>
      </c>
      <c r="Z120" s="513">
        <f>SUMIF($E120:$X120,"&lt;0")</f>
        <v>-40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 hidden="1">
      <c r="A121" s="1436"/>
      <c r="B121" s="1437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10</v>
      </c>
      <c r="W121" s="525">
        <f t="shared" si="56"/>
        <v>1</v>
      </c>
      <c r="X121" s="525">
        <f t="shared" si="56"/>
        <v>0</v>
      </c>
      <c r="Y121" s="513"/>
      <c r="Z121" s="513"/>
      <c r="AA121" s="699">
        <f>SUM(E121:X121)</f>
        <v>92</v>
      </c>
      <c r="AB121" s="505"/>
      <c r="AC121" s="698">
        <f>SUM(T121:W121)</f>
        <v>23</v>
      </c>
      <c r="AD121" s="695"/>
      <c r="AE121" s="508"/>
      <c r="AF121" s="508"/>
      <c r="AG121" s="508"/>
      <c r="AH121" s="508"/>
    </row>
    <row r="122" spans="1:34" ht="13" hidden="1">
      <c r="A122" s="1438" t="s">
        <v>86</v>
      </c>
      <c r="B122" s="1438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1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0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16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 hidden="1">
      <c r="A123" s="1439"/>
      <c r="B123" s="1439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439"/>
      <c r="B124" s="1439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0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2</v>
      </c>
      <c r="X124" s="524">
        <f t="shared" si="57"/>
        <v>0</v>
      </c>
      <c r="Y124" s="513">
        <f>SUMIF($E124:$X124,"&gt;0")</f>
        <v>7</v>
      </c>
      <c r="Z124" s="513">
        <f>SUMIF($E124:$X124,"&lt;0")</f>
        <v>-5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 hidden="1">
      <c r="A125" s="1439"/>
      <c r="B125" s="1440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16</v>
      </c>
      <c r="AB125" s="505"/>
      <c r="AC125" s="508"/>
      <c r="AD125" s="508"/>
      <c r="AE125" s="508"/>
      <c r="AF125" s="508"/>
      <c r="AG125" s="508"/>
      <c r="AH125" s="508"/>
    </row>
    <row r="126" spans="1:34" ht="13" hidden="1">
      <c r="A126" s="1439"/>
      <c r="B126" s="1438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0</v>
      </c>
      <c r="Y126" s="507" t="s">
        <v>197</v>
      </c>
      <c r="Z126" s="507" t="s">
        <v>197</v>
      </c>
      <c r="AA126" s="698">
        <f>SUM(E126:X126)</f>
        <v>0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 hidden="1">
      <c r="A127" s="1439"/>
      <c r="B127" s="1439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439"/>
      <c r="B128" s="1439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0</v>
      </c>
      <c r="Y128" s="513">
        <f>SUMIF($E128:$X128,"&gt;0")</f>
        <v>0</v>
      </c>
      <c r="Z128" s="513">
        <f>SUMIF($E128:$X128,"&lt;0")</f>
        <v>0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 hidden="1">
      <c r="A129" s="1439"/>
      <c r="B129" s="1440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3"/>
      <c r="Z129" s="513"/>
      <c r="AA129" s="698">
        <f>SUM(E129:X129)</f>
        <v>0</v>
      </c>
      <c r="AB129" s="505"/>
      <c r="AC129" s="508"/>
      <c r="AD129" s="508"/>
      <c r="AE129" s="508"/>
      <c r="AF129" s="508"/>
      <c r="AG129" s="508"/>
      <c r="AH129" s="508"/>
    </row>
    <row r="130" spans="1:34" ht="13" hidden="1">
      <c r="A130" s="1439"/>
      <c r="B130" s="1438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 hidden="1">
      <c r="A131" s="1439"/>
      <c r="B131" s="1439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439"/>
      <c r="B132" s="1439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 hidden="1">
      <c r="A133" s="1439"/>
      <c r="B133" s="1440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 hidden="1">
      <c r="A134" s="1439"/>
      <c r="B134" s="1438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 hidden="1">
      <c r="A135" s="1439"/>
      <c r="B135" s="1439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439"/>
      <c r="B136" s="1439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 hidden="1">
      <c r="A137" s="1440"/>
      <c r="B137" s="1440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hidden="1" customHeight="1">
      <c r="A138" s="1432" t="s">
        <v>2488</v>
      </c>
      <c r="B138" s="1433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3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0</v>
      </c>
      <c r="X138" s="517">
        <f t="shared" si="61"/>
        <v>0</v>
      </c>
      <c r="Y138" s="507" t="s">
        <v>197</v>
      </c>
      <c r="Z138" s="507" t="s">
        <v>197</v>
      </c>
      <c r="AA138" s="699">
        <f>SUM(E138:X138)</f>
        <v>21</v>
      </c>
      <c r="AB138" s="505" t="s">
        <v>197</v>
      </c>
      <c r="AC138" s="698">
        <f>SUM(T138:X138)</f>
        <v>2</v>
      </c>
      <c r="AD138" s="508">
        <f t="shared" si="43"/>
        <v>0</v>
      </c>
      <c r="AE138" s="508"/>
      <c r="AF138" s="508"/>
      <c r="AG138" s="508"/>
      <c r="AH138" s="508"/>
    </row>
    <row r="139" spans="1:34" ht="13" hidden="1">
      <c r="A139" s="1434"/>
      <c r="B139" s="1435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434"/>
      <c r="B140" s="1435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-1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3</v>
      </c>
      <c r="X140" s="525">
        <f t="shared" si="64"/>
        <v>0</v>
      </c>
      <c r="Y140" s="513">
        <f>SUMIF($E140:$X140,"&gt;0")</f>
        <v>10</v>
      </c>
      <c r="Z140" s="513">
        <f>SUMIF($E140:$X140,"&lt;0")</f>
        <v>-5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 hidden="1">
      <c r="A141" s="1436"/>
      <c r="B141" s="1437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0</v>
      </c>
      <c r="X141" s="517">
        <f t="shared" si="65"/>
        <v>0</v>
      </c>
      <c r="Y141" s="513"/>
      <c r="Z141" s="513"/>
      <c r="AA141" s="699">
        <f>SUM(E141:X141)</f>
        <v>21</v>
      </c>
      <c r="AB141" s="505"/>
      <c r="AC141" s="698">
        <f>SUM(T141:W141)</f>
        <v>2</v>
      </c>
      <c r="AD141" s="695"/>
      <c r="AE141" s="508"/>
      <c r="AF141" s="508"/>
      <c r="AG141" s="508"/>
      <c r="AH141" s="508"/>
    </row>
    <row r="142" spans="1:34" ht="13" hidden="1">
      <c r="A142" s="1431" t="s">
        <v>2475</v>
      </c>
      <c r="B142" s="1431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>
    <filterColumn colId="2">
      <filters>
        <filter val="GAP"/>
      </filters>
    </filterColumn>
  </autoFilter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129" priority="63" operator="greaterThan">
      <formula>0</formula>
    </cfRule>
    <cfRule type="cellIs" dxfId="128" priority="64" operator="lessThan">
      <formula>0</formula>
    </cfRule>
  </conditionalFormatting>
  <conditionalFormatting sqref="D8:X8 D9">
    <cfRule type="cellIs" dxfId="127" priority="61" operator="greaterThan">
      <formula>0</formula>
    </cfRule>
    <cfRule type="cellIs" dxfId="126" priority="62" operator="lessThan">
      <formula>0</formula>
    </cfRule>
  </conditionalFormatting>
  <conditionalFormatting sqref="D12:X12 D13">
    <cfRule type="cellIs" dxfId="125" priority="59" operator="greaterThan">
      <formula>0</formula>
    </cfRule>
    <cfRule type="cellIs" dxfId="124" priority="60" operator="lessThan">
      <formula>0</formula>
    </cfRule>
  </conditionalFormatting>
  <conditionalFormatting sqref="D16:X16 D17">
    <cfRule type="cellIs" dxfId="123" priority="5" operator="greaterThan">
      <formula>0</formula>
    </cfRule>
    <cfRule type="cellIs" dxfId="122" priority="6" operator="lessThan">
      <formula>0</formula>
    </cfRule>
  </conditionalFormatting>
  <conditionalFormatting sqref="D20:X20 D21">
    <cfRule type="cellIs" dxfId="121" priority="57" operator="greaterThan">
      <formula>0</formula>
    </cfRule>
    <cfRule type="cellIs" dxfId="120" priority="58" operator="lessThan">
      <formula>0</formula>
    </cfRule>
  </conditionalFormatting>
  <conditionalFormatting sqref="D28:X28 D29">
    <cfRule type="cellIs" dxfId="119" priority="55" operator="greaterThan">
      <formula>0</formula>
    </cfRule>
    <cfRule type="cellIs" dxfId="118" priority="56" operator="lessThan">
      <formula>0</formula>
    </cfRule>
  </conditionalFormatting>
  <conditionalFormatting sqref="D32:X32 D33">
    <cfRule type="cellIs" dxfId="117" priority="53" operator="greaterThan">
      <formula>0</formula>
    </cfRule>
    <cfRule type="cellIs" dxfId="116" priority="54" operator="lessThan">
      <formula>0</formula>
    </cfRule>
  </conditionalFormatting>
  <conditionalFormatting sqref="D36:X36 D37">
    <cfRule type="cellIs" dxfId="115" priority="51" operator="greaterThan">
      <formula>0</formula>
    </cfRule>
    <cfRule type="cellIs" dxfId="114" priority="52" operator="lessThan">
      <formula>0</formula>
    </cfRule>
  </conditionalFormatting>
  <conditionalFormatting sqref="D40:X40 D41 D44:X44 D45">
    <cfRule type="cellIs" dxfId="113" priority="49" operator="greaterThan">
      <formula>0</formula>
    </cfRule>
    <cfRule type="cellIs" dxfId="112" priority="50" operator="lessThan">
      <formula>0</formula>
    </cfRule>
  </conditionalFormatting>
  <conditionalFormatting sqref="D54:X54 D55">
    <cfRule type="cellIs" dxfId="111" priority="47" operator="greaterThan">
      <formula>0</formula>
    </cfRule>
    <cfRule type="cellIs" dxfId="110" priority="48" operator="lessThan">
      <formula>0</formula>
    </cfRule>
  </conditionalFormatting>
  <conditionalFormatting sqref="D58:X58 D59">
    <cfRule type="cellIs" dxfId="109" priority="45" operator="greaterThan">
      <formula>0</formula>
    </cfRule>
    <cfRule type="cellIs" dxfId="108" priority="46" operator="lessThan">
      <formula>0</formula>
    </cfRule>
  </conditionalFormatting>
  <conditionalFormatting sqref="D62:X62 D63">
    <cfRule type="cellIs" dxfId="107" priority="43" operator="greaterThan">
      <formula>0</formula>
    </cfRule>
    <cfRule type="cellIs" dxfId="106" priority="44" operator="lessThan">
      <formula>0</formula>
    </cfRule>
  </conditionalFormatting>
  <conditionalFormatting sqref="D66:X66 D67">
    <cfRule type="cellIs" dxfId="105" priority="41" operator="greaterThan">
      <formula>0</formula>
    </cfRule>
    <cfRule type="cellIs" dxfId="104" priority="42" operator="lessThan">
      <formula>0</formula>
    </cfRule>
  </conditionalFormatting>
  <conditionalFormatting sqref="D70:X70 D71">
    <cfRule type="cellIs" dxfId="103" priority="39" operator="greaterThan">
      <formula>0</formula>
    </cfRule>
    <cfRule type="cellIs" dxfId="102" priority="40" operator="lessThan">
      <formula>0</formula>
    </cfRule>
  </conditionalFormatting>
  <conditionalFormatting sqref="D78:X78 D79">
    <cfRule type="cellIs" dxfId="101" priority="37" operator="greaterThan">
      <formula>0</formula>
    </cfRule>
    <cfRule type="cellIs" dxfId="100" priority="38" operator="lessThan">
      <formula>0</formula>
    </cfRule>
  </conditionalFormatting>
  <conditionalFormatting sqref="D82:X82 D83">
    <cfRule type="cellIs" dxfId="99" priority="35" operator="greaterThan">
      <formula>0</formula>
    </cfRule>
    <cfRule type="cellIs" dxfId="98" priority="36" operator="lessThan">
      <formula>0</formula>
    </cfRule>
  </conditionalFormatting>
  <conditionalFormatting sqref="D86:X86 D87">
    <cfRule type="cellIs" dxfId="97" priority="33" operator="greaterThan">
      <formula>0</formula>
    </cfRule>
    <cfRule type="cellIs" dxfId="96" priority="34" operator="lessThan">
      <formula>0</formula>
    </cfRule>
  </conditionalFormatting>
  <conditionalFormatting sqref="D90:X90 D91">
    <cfRule type="cellIs" dxfId="95" priority="31" operator="greaterThan">
      <formula>0</formula>
    </cfRule>
    <cfRule type="cellIs" dxfId="94" priority="32" operator="lessThan">
      <formula>0</formula>
    </cfRule>
  </conditionalFormatting>
  <conditionalFormatting sqref="D100:X100 D101">
    <cfRule type="cellIs" dxfId="93" priority="29" operator="greaterThan">
      <formula>0</formula>
    </cfRule>
    <cfRule type="cellIs" dxfId="92" priority="30" operator="lessThan">
      <formula>0</formula>
    </cfRule>
  </conditionalFormatting>
  <conditionalFormatting sqref="D104:X104 D105">
    <cfRule type="cellIs" dxfId="91" priority="27" operator="greaterThan">
      <formula>0</formula>
    </cfRule>
    <cfRule type="cellIs" dxfId="90" priority="28" operator="lessThan">
      <formula>0</formula>
    </cfRule>
  </conditionalFormatting>
  <conditionalFormatting sqref="D108:X108 D109">
    <cfRule type="cellIs" dxfId="89" priority="25" operator="greaterThan">
      <formula>0</formula>
    </cfRule>
    <cfRule type="cellIs" dxfId="88" priority="26" operator="lessThan">
      <formula>0</formula>
    </cfRule>
  </conditionalFormatting>
  <conditionalFormatting sqref="D112:X112 D113">
    <cfRule type="cellIs" dxfId="87" priority="2" operator="greaterThan">
      <formula>0</formula>
    </cfRule>
    <cfRule type="cellIs" dxfId="86" priority="3" operator="lessThan">
      <formula>0</formula>
    </cfRule>
  </conditionalFormatting>
  <conditionalFormatting sqref="D116:X116 D117">
    <cfRule type="cellIs" dxfId="85" priority="23" operator="greaterThan">
      <formula>0</formula>
    </cfRule>
    <cfRule type="cellIs" dxfId="84" priority="24" operator="lessThan">
      <formula>0</formula>
    </cfRule>
  </conditionalFormatting>
  <conditionalFormatting sqref="D124:X124 D125">
    <cfRule type="cellIs" dxfId="83" priority="21" operator="greaterThan">
      <formula>0</formula>
    </cfRule>
    <cfRule type="cellIs" dxfId="82" priority="22" operator="lessThan">
      <formula>0</formula>
    </cfRule>
  </conditionalFormatting>
  <conditionalFormatting sqref="D128:X128 D129">
    <cfRule type="cellIs" dxfId="81" priority="19" operator="greaterThan">
      <formula>0</formula>
    </cfRule>
    <cfRule type="cellIs" dxfId="80" priority="20" operator="lessThan">
      <formula>0</formula>
    </cfRule>
  </conditionalFormatting>
  <conditionalFormatting sqref="D132:X132 D133">
    <cfRule type="cellIs" dxfId="79" priority="17" operator="greaterThan">
      <formula>0</formula>
    </cfRule>
    <cfRule type="cellIs" dxfId="78" priority="18" operator="lessThan">
      <formula>0</formula>
    </cfRule>
  </conditionalFormatting>
  <conditionalFormatting sqref="D136:X136 D137">
    <cfRule type="cellIs" dxfId="77" priority="15" operator="greaterThan">
      <formula>0</formula>
    </cfRule>
    <cfRule type="cellIs" dxfId="76" priority="16" operator="lessThan">
      <formula>0</formula>
    </cfRule>
  </conditionalFormatting>
  <conditionalFormatting sqref="E5:X5">
    <cfRule type="expression" dxfId="75" priority="9" stopIfTrue="1">
      <formula>E$2&lt;&gt;E$5</formula>
    </cfRule>
    <cfRule type="expression" dxfId="74" priority="12" stopIfTrue="1">
      <formula>E5&lt;&gt;E2</formula>
    </cfRule>
    <cfRule type="expression" dxfId="73" priority="4795" stopIfTrue="1">
      <formula>E1048573&lt;&gt;E1048570</formula>
    </cfRule>
  </conditionalFormatting>
  <conditionalFormatting sqref="E9:X9">
    <cfRule type="expression" dxfId="72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1" priority="11" stopIfTrue="1">
      <formula>E13&lt;&gt;E10</formula>
    </cfRule>
  </conditionalFormatting>
  <conditionalFormatting sqref="E13:X13">
    <cfRule type="expression" dxfId="70" priority="4818" stopIfTrue="1">
      <formula>#REF!&lt;&gt;#REF!</formula>
    </cfRule>
  </conditionalFormatting>
  <conditionalFormatting sqref="E17:X17">
    <cfRule type="expression" dxfId="69" priority="4819" stopIfTrue="1">
      <formula>E17&lt;&gt;E14</formula>
    </cfRule>
    <cfRule type="expression" dxfId="68" priority="4820" stopIfTrue="1">
      <formula>#REF!&lt;&gt;#REF!</formula>
    </cfRule>
  </conditionalFormatting>
  <conditionalFormatting sqref="E21:X21">
    <cfRule type="expression" dxfId="67" priority="4813" stopIfTrue="1">
      <formula>#REF!&lt;&gt;#REF!</formula>
    </cfRule>
  </conditionalFormatting>
  <conditionalFormatting sqref="E29:X29">
    <cfRule type="expression" dxfId="66" priority="4797" stopIfTrue="1">
      <formula>E5&lt;&gt;E2</formula>
    </cfRule>
  </conditionalFormatting>
  <conditionalFormatting sqref="E101:X101 E105:X105 E117:X117 E125:X125 E129:X129 E133:X133 E137:X137">
    <cfRule type="expression" dxfId="65" priority="8" stopIfTrue="1">
      <formula>E101&lt;&gt;E98</formula>
    </cfRule>
  </conditionalFormatting>
  <conditionalFormatting sqref="E113:X113">
    <cfRule type="expression" dxfId="64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15" activePane="bottomLeft" state="frozen"/>
      <selection activeCell="AA474" sqref="AA474"/>
      <selection pane="bottomLeft" activeCell="W467" sqref="W46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2494</v>
      </c>
      <c r="M1" s="217" t="s">
        <v>2495</v>
      </c>
      <c r="N1" s="26" t="s">
        <v>13</v>
      </c>
      <c r="O1" s="26" t="s">
        <v>2496</v>
      </c>
      <c r="P1" s="2" t="s">
        <v>14</v>
      </c>
      <c r="Q1" s="2" t="s">
        <v>15</v>
      </c>
      <c r="R1" s="2" t="s">
        <v>2497</v>
      </c>
      <c r="S1" s="2" t="s">
        <v>2498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2499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2500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2501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2502</v>
      </c>
      <c r="AU1" s="2" t="s">
        <v>46</v>
      </c>
      <c r="AV1" s="2" t="s">
        <v>47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56</v>
      </c>
      <c r="BH1" s="196" t="s">
        <v>57</v>
      </c>
    </row>
    <row r="2" spans="1:60" s="23" customFormat="1" ht="10">
      <c r="A2" s="11" t="s">
        <v>2513</v>
      </c>
      <c r="B2" s="12"/>
      <c r="C2" s="12" t="s">
        <v>2514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2515</v>
      </c>
      <c r="M2" s="213" t="s">
        <v>68</v>
      </c>
      <c r="N2" s="182"/>
      <c r="O2" s="12" t="s">
        <v>2516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2523</v>
      </c>
      <c r="M3" s="12" t="s">
        <v>68</v>
      </c>
      <c r="N3" s="182"/>
      <c r="O3" s="12" t="s">
        <v>2516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2529</v>
      </c>
      <c r="J4" s="13" t="s">
        <v>68</v>
      </c>
      <c r="K4" s="12"/>
      <c r="L4" s="13" t="s">
        <v>2530</v>
      </c>
      <c r="M4" s="12" t="s">
        <v>68</v>
      </c>
      <c r="N4" s="182"/>
      <c r="O4" s="12" t="s">
        <v>2516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2537</v>
      </c>
      <c r="J5" s="13" t="s">
        <v>68</v>
      </c>
      <c r="K5" s="12"/>
      <c r="L5" s="13" t="s">
        <v>2538</v>
      </c>
      <c r="M5" s="12" t="s">
        <v>68</v>
      </c>
      <c r="N5" s="182"/>
      <c r="O5" s="12" t="s">
        <v>2516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111</v>
      </c>
      <c r="C6" s="12" t="s">
        <v>2544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2545</v>
      </c>
      <c r="J6" s="13" t="s">
        <v>68</v>
      </c>
      <c r="K6" s="12">
        <v>19142931</v>
      </c>
      <c r="L6" s="13" t="s">
        <v>2538</v>
      </c>
      <c r="M6" s="12" t="s">
        <v>68</v>
      </c>
      <c r="N6" s="182"/>
      <c r="O6" s="12" t="s">
        <v>2516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111</v>
      </c>
      <c r="C7" s="12" t="s">
        <v>2550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2515</v>
      </c>
      <c r="M7" s="213" t="s">
        <v>68</v>
      </c>
      <c r="N7" s="182"/>
      <c r="O7" s="12" t="s">
        <v>2516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2538</v>
      </c>
      <c r="M8" s="12" t="s">
        <v>68</v>
      </c>
      <c r="N8" s="182"/>
      <c r="O8" s="12" t="s">
        <v>2516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2529</v>
      </c>
      <c r="J9" s="13" t="s">
        <v>68</v>
      </c>
      <c r="K9" s="12"/>
      <c r="L9" s="13" t="s">
        <v>2530</v>
      </c>
      <c r="M9" s="12" t="s">
        <v>68</v>
      </c>
      <c r="N9" s="182"/>
      <c r="O9" s="12" t="s">
        <v>2516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2537</v>
      </c>
      <c r="J10" s="13" t="s">
        <v>68</v>
      </c>
      <c r="K10" s="12"/>
      <c r="L10" s="13" t="s">
        <v>2538</v>
      </c>
      <c r="M10" s="12" t="s">
        <v>68</v>
      </c>
      <c r="N10" s="182"/>
      <c r="O10" s="12" t="s">
        <v>2516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2538</v>
      </c>
      <c r="M11" s="12" t="s">
        <v>68</v>
      </c>
      <c r="N11" s="182"/>
      <c r="O11" s="12" t="s">
        <v>2516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2569</v>
      </c>
      <c r="M12" s="12" t="s">
        <v>68</v>
      </c>
      <c r="N12" s="182"/>
      <c r="O12" s="12" t="s">
        <v>2570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2529</v>
      </c>
      <c r="J13" s="13" t="s">
        <v>68</v>
      </c>
      <c r="K13" s="12"/>
      <c r="L13" s="13" t="s">
        <v>2530</v>
      </c>
      <c r="M13" s="12" t="s">
        <v>68</v>
      </c>
      <c r="N13" s="182"/>
      <c r="O13" s="12" t="s">
        <v>2516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2579</v>
      </c>
      <c r="J14" s="34" t="s">
        <v>68</v>
      </c>
      <c r="K14" s="12">
        <v>19143069</v>
      </c>
      <c r="L14" s="13" t="s">
        <v>2538</v>
      </c>
      <c r="M14" s="12" t="s">
        <v>68</v>
      </c>
      <c r="N14" s="182"/>
      <c r="O14" s="12" t="s">
        <v>2516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2569</v>
      </c>
      <c r="M15" s="12" t="s">
        <v>68</v>
      </c>
      <c r="N15" s="182"/>
      <c r="O15" s="12" t="s">
        <v>2570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2538</v>
      </c>
      <c r="M16" s="12" t="s">
        <v>68</v>
      </c>
      <c r="N16" s="182"/>
      <c r="O16" s="12" t="s">
        <v>2516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2569</v>
      </c>
      <c r="M17" s="12" t="s">
        <v>68</v>
      </c>
      <c r="N17" s="182"/>
      <c r="O17" s="12" t="s">
        <v>2570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2588</v>
      </c>
      <c r="J18" s="34" t="s">
        <v>68</v>
      </c>
      <c r="K18" s="12"/>
      <c r="L18" s="13" t="s">
        <v>2530</v>
      </c>
      <c r="M18" s="12" t="s">
        <v>68</v>
      </c>
      <c r="N18" s="182"/>
      <c r="O18" s="12" t="s">
        <v>2516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2515</v>
      </c>
      <c r="M19" s="213" t="s">
        <v>68</v>
      </c>
      <c r="N19" s="182"/>
      <c r="O19" s="12" t="s">
        <v>2516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2538</v>
      </c>
      <c r="M20" s="41" t="s">
        <v>68</v>
      </c>
      <c r="N20" s="184"/>
      <c r="O20" s="41" t="s">
        <v>2516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2538</v>
      </c>
      <c r="M21" s="12" t="s">
        <v>68</v>
      </c>
      <c r="N21" s="182"/>
      <c r="O21" s="12" t="s">
        <v>2516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2523</v>
      </c>
      <c r="M22" s="12" t="s">
        <v>68</v>
      </c>
      <c r="N22" s="182"/>
      <c r="O22" s="12" t="s">
        <v>2516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2515</v>
      </c>
      <c r="M23" s="213" t="s">
        <v>68</v>
      </c>
      <c r="N23" s="182"/>
      <c r="O23" s="12" t="s">
        <v>2516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2538</v>
      </c>
      <c r="M24" s="41" t="s">
        <v>68</v>
      </c>
      <c r="N24" s="184"/>
      <c r="O24" s="41" t="s">
        <v>2516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2538</v>
      </c>
      <c r="M25" s="12" t="s">
        <v>68</v>
      </c>
      <c r="N25" s="182"/>
      <c r="O25" s="12" t="s">
        <v>2516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2538</v>
      </c>
      <c r="M26" s="12" t="s">
        <v>68</v>
      </c>
      <c r="N26" s="182"/>
      <c r="O26" s="12" t="s">
        <v>2516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1888</v>
      </c>
      <c r="C27" s="12" t="s">
        <v>2584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2530</v>
      </c>
      <c r="M27" s="12" t="s">
        <v>68</v>
      </c>
      <c r="N27" s="182"/>
      <c r="O27" s="12" t="s">
        <v>2516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2537</v>
      </c>
      <c r="J28" s="34" t="s">
        <v>68</v>
      </c>
      <c r="K28" s="12"/>
      <c r="L28" s="13" t="s">
        <v>2538</v>
      </c>
      <c r="M28" s="12" t="s">
        <v>68</v>
      </c>
      <c r="N28" s="182"/>
      <c r="O28" s="12" t="s">
        <v>2516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2537</v>
      </c>
      <c r="J29" s="34" t="s">
        <v>68</v>
      </c>
      <c r="K29" s="12"/>
      <c r="L29" s="13" t="s">
        <v>2538</v>
      </c>
      <c r="M29" s="12" t="s">
        <v>68</v>
      </c>
      <c r="N29" s="182"/>
      <c r="O29" s="12" t="s">
        <v>2516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2523</v>
      </c>
      <c r="M30" s="12" t="s">
        <v>68</v>
      </c>
      <c r="N30" s="182"/>
      <c r="O30" s="12" t="s">
        <v>2516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2538</v>
      </c>
      <c r="M31" s="12" t="s">
        <v>68</v>
      </c>
      <c r="N31" s="182"/>
      <c r="O31" s="12" t="s">
        <v>2516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2538</v>
      </c>
      <c r="M32" s="12" t="s">
        <v>68</v>
      </c>
      <c r="N32" s="182"/>
      <c r="O32" s="12" t="s">
        <v>2516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111</v>
      </c>
      <c r="C33" s="12" t="s">
        <v>2550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2515</v>
      </c>
      <c r="M33" s="213" t="s">
        <v>68</v>
      </c>
      <c r="N33" s="182"/>
      <c r="O33" s="12" t="s">
        <v>2516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111</v>
      </c>
      <c r="C34" s="12" t="s">
        <v>2650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2515</v>
      </c>
      <c r="M34" s="213" t="s">
        <v>68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111</v>
      </c>
      <c r="C35" s="12" t="s">
        <v>2514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2515</v>
      </c>
      <c r="M35" s="213" t="s">
        <v>68</v>
      </c>
      <c r="N35" s="182"/>
      <c r="O35" s="12" t="s">
        <v>2516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111</v>
      </c>
      <c r="C36" s="12" t="s">
        <v>2658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2515</v>
      </c>
      <c r="M36" s="213" t="s">
        <v>68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111</v>
      </c>
      <c r="C37" s="12" t="s">
        <v>2550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2538</v>
      </c>
      <c r="M37" s="12" t="s">
        <v>68</v>
      </c>
      <c r="N37" s="182"/>
      <c r="O37" s="12" t="s">
        <v>2516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111</v>
      </c>
      <c r="C38" s="12" t="s">
        <v>2550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2538</v>
      </c>
      <c r="M38" s="12" t="s">
        <v>68</v>
      </c>
      <c r="N38" s="182"/>
      <c r="O38" s="12" t="s">
        <v>2516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111</v>
      </c>
      <c r="C39" s="12" t="s">
        <v>2674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2515</v>
      </c>
      <c r="M39" s="213" t="s">
        <v>68</v>
      </c>
      <c r="N39" s="182"/>
      <c r="O39" s="12" t="s">
        <v>2516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111</v>
      </c>
      <c r="C40" s="12" t="s">
        <v>2674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2515</v>
      </c>
      <c r="M40" s="213" t="s">
        <v>68</v>
      </c>
      <c r="N40" s="182"/>
      <c r="O40" s="12" t="s">
        <v>2516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111</v>
      </c>
      <c r="C41" s="12" t="s">
        <v>2658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2515</v>
      </c>
      <c r="M41" s="213" t="s">
        <v>68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111</v>
      </c>
      <c r="C42" s="12" t="s">
        <v>2650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2515</v>
      </c>
      <c r="M42" s="213" t="s">
        <v>68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2537</v>
      </c>
      <c r="J43" s="34" t="s">
        <v>68</v>
      </c>
      <c r="K43" s="12"/>
      <c r="L43" s="13" t="s">
        <v>2538</v>
      </c>
      <c r="M43" s="12" t="s">
        <v>68</v>
      </c>
      <c r="N43" s="182"/>
      <c r="O43" s="12" t="s">
        <v>2516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2537</v>
      </c>
      <c r="J44" s="34" t="s">
        <v>68</v>
      </c>
      <c r="K44" s="12"/>
      <c r="L44" s="13" t="s">
        <v>2538</v>
      </c>
      <c r="M44" s="12" t="s">
        <v>68</v>
      </c>
      <c r="N44" s="182"/>
      <c r="O44" s="12" t="s">
        <v>2516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2697</v>
      </c>
      <c r="J45" s="34" t="s">
        <v>68</v>
      </c>
      <c r="K45" s="12">
        <v>19142983</v>
      </c>
      <c r="L45" s="13" t="s">
        <v>2538</v>
      </c>
      <c r="M45" s="12" t="s">
        <v>68</v>
      </c>
      <c r="N45" s="182"/>
      <c r="O45" s="12" t="s">
        <v>2516</v>
      </c>
      <c r="P45" s="12" t="s">
        <v>70</v>
      </c>
      <c r="Q45" s="12" t="s">
        <v>2698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2699</v>
      </c>
      <c r="AB45" s="13" t="s">
        <v>967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1888</v>
      </c>
      <c r="C46" s="12" t="s">
        <v>2705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2706</v>
      </c>
      <c r="J46" s="34" t="s">
        <v>68</v>
      </c>
      <c r="K46" s="12">
        <v>46010692</v>
      </c>
      <c r="L46" s="13" t="s">
        <v>2707</v>
      </c>
      <c r="M46" s="12" t="s">
        <v>68</v>
      </c>
      <c r="N46" s="182"/>
      <c r="O46" s="12" t="s">
        <v>2516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2699</v>
      </c>
      <c r="AB46" s="13" t="s">
        <v>967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1888</v>
      </c>
      <c r="C47" s="12" t="s">
        <v>2705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2712</v>
      </c>
      <c r="J47" s="34" t="s">
        <v>68</v>
      </c>
      <c r="K47" s="12">
        <v>46010684</v>
      </c>
      <c r="L47" s="13" t="s">
        <v>2707</v>
      </c>
      <c r="M47" s="12" t="s">
        <v>68</v>
      </c>
      <c r="N47" s="182"/>
      <c r="O47" s="12" t="s">
        <v>2516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2699</v>
      </c>
      <c r="AB47" s="13" t="s">
        <v>967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1888</v>
      </c>
      <c r="C48" s="12" t="s">
        <v>2718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2697</v>
      </c>
      <c r="J48" s="34" t="s">
        <v>68</v>
      </c>
      <c r="K48" s="12">
        <v>19142984</v>
      </c>
      <c r="L48" s="13" t="s">
        <v>2538</v>
      </c>
      <c r="M48" s="12" t="s">
        <v>68</v>
      </c>
      <c r="N48" s="182"/>
      <c r="O48" s="12" t="s">
        <v>2516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2699</v>
      </c>
      <c r="AB48" s="13" t="s">
        <v>992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1888</v>
      </c>
      <c r="C49" s="12" t="s">
        <v>2705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2697</v>
      </c>
      <c r="J49" s="34" t="s">
        <v>68</v>
      </c>
      <c r="K49" s="12">
        <v>19142984</v>
      </c>
      <c r="L49" s="13" t="s">
        <v>2538</v>
      </c>
      <c r="M49" s="12" t="s">
        <v>68</v>
      </c>
      <c r="N49" s="182"/>
      <c r="O49" s="12" t="s">
        <v>2516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2699</v>
      </c>
      <c r="AB49" s="13" t="s">
        <v>967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111</v>
      </c>
      <c r="C50" s="12" t="s">
        <v>2658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2515</v>
      </c>
      <c r="M50" s="213" t="s">
        <v>68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111</v>
      </c>
      <c r="C51" s="12" t="s">
        <v>2550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2538</v>
      </c>
      <c r="M51" s="12" t="s">
        <v>68</v>
      </c>
      <c r="N51" s="182"/>
      <c r="O51" s="12" t="s">
        <v>2516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111</v>
      </c>
      <c r="C52" s="12" t="s">
        <v>2658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2515</v>
      </c>
      <c r="M52" s="213" t="s">
        <v>68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111</v>
      </c>
      <c r="C53" s="12" t="s">
        <v>2738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2739</v>
      </c>
      <c r="J53" s="34" t="s">
        <v>68</v>
      </c>
      <c r="K53" s="12">
        <v>46010175</v>
      </c>
      <c r="L53" s="13" t="s">
        <v>2707</v>
      </c>
      <c r="M53" s="213" t="s">
        <v>68</v>
      </c>
      <c r="N53" s="182"/>
      <c r="O53" s="12" t="s">
        <v>2516</v>
      </c>
      <c r="P53" s="12" t="s">
        <v>550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2697</v>
      </c>
      <c r="J54" s="34" t="s">
        <v>68</v>
      </c>
      <c r="K54" s="12"/>
      <c r="L54" s="13" t="s">
        <v>2538</v>
      </c>
      <c r="M54" s="12" t="s">
        <v>68</v>
      </c>
      <c r="N54" s="182"/>
      <c r="O54" s="12" t="s">
        <v>2516</v>
      </c>
      <c r="P54" s="12" t="s">
        <v>70</v>
      </c>
      <c r="Q54" s="12" t="s">
        <v>2698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2699</v>
      </c>
      <c r="AB54" s="13" t="s">
        <v>967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2749</v>
      </c>
      <c r="J55" s="34" t="s">
        <v>68</v>
      </c>
      <c r="K55" s="12" t="s">
        <v>2750</v>
      </c>
      <c r="L55" s="13" t="s">
        <v>2538</v>
      </c>
      <c r="M55" s="12" t="s">
        <v>68</v>
      </c>
      <c r="N55" s="182"/>
      <c r="O55" s="12" t="s">
        <v>2516</v>
      </c>
      <c r="P55" s="12" t="s">
        <v>70</v>
      </c>
      <c r="Q55" s="12" t="s">
        <v>2698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2699</v>
      </c>
      <c r="AB55" s="13" t="s">
        <v>967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61</v>
      </c>
      <c r="C56" s="12" t="s">
        <v>2755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2697</v>
      </c>
      <c r="J56" s="34" t="s">
        <v>68</v>
      </c>
      <c r="K56" s="12">
        <v>19143010</v>
      </c>
      <c r="L56" s="13" t="s">
        <v>2538</v>
      </c>
      <c r="M56" s="12" t="s">
        <v>68</v>
      </c>
      <c r="N56" s="182"/>
      <c r="O56" s="12" t="s">
        <v>2516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2699</v>
      </c>
      <c r="AB56" s="13" t="s">
        <v>967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61</v>
      </c>
      <c r="C57" s="12" t="s">
        <v>2759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2760</v>
      </c>
      <c r="M57" s="12" t="s">
        <v>68</v>
      </c>
      <c r="N57" s="182"/>
      <c r="O57" s="12" t="s">
        <v>2516</v>
      </c>
      <c r="P57" s="12" t="s">
        <v>70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2699</v>
      </c>
      <c r="AB57" s="32" t="s">
        <v>992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61</v>
      </c>
      <c r="C58" s="12" t="s">
        <v>2755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2766</v>
      </c>
      <c r="J58" s="34" t="s">
        <v>68</v>
      </c>
      <c r="K58" s="12">
        <v>46010725</v>
      </c>
      <c r="L58" s="13" t="s">
        <v>2530</v>
      </c>
      <c r="M58" s="12" t="s">
        <v>68</v>
      </c>
      <c r="N58" s="182"/>
      <c r="O58" s="12" t="s">
        <v>2516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2699</v>
      </c>
      <c r="AB58" s="13" t="s">
        <v>967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77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61</v>
      </c>
      <c r="C59" s="12" t="s">
        <v>2755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2772</v>
      </c>
      <c r="J59" s="34" t="s">
        <v>68</v>
      </c>
      <c r="K59" s="12">
        <v>14130647</v>
      </c>
      <c r="L59" s="13" t="s">
        <v>2773</v>
      </c>
      <c r="M59" s="213" t="s">
        <v>68</v>
      </c>
      <c r="N59" s="182"/>
      <c r="O59" s="12" t="s">
        <v>2516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2699</v>
      </c>
      <c r="AB59" s="13" t="s">
        <v>967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1888</v>
      </c>
      <c r="C60" s="12" t="s">
        <v>2705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2697</v>
      </c>
      <c r="J60" s="34" t="s">
        <v>68</v>
      </c>
      <c r="K60" s="12">
        <v>19142984</v>
      </c>
      <c r="L60" s="13" t="s">
        <v>2538</v>
      </c>
      <c r="M60" s="12" t="s">
        <v>68</v>
      </c>
      <c r="N60" s="182"/>
      <c r="O60" s="12" t="s">
        <v>2516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2699</v>
      </c>
      <c r="AB60" s="13" t="s">
        <v>967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111</v>
      </c>
      <c r="C61" s="12" t="s">
        <v>2550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2515</v>
      </c>
      <c r="M61" s="213" t="s">
        <v>68</v>
      </c>
      <c r="N61" s="182"/>
      <c r="O61" s="12" t="s">
        <v>2516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111</v>
      </c>
      <c r="C62" s="12" t="s">
        <v>2785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2523</v>
      </c>
      <c r="M62" s="12" t="s">
        <v>68</v>
      </c>
      <c r="N62" s="182"/>
      <c r="O62" s="12" t="s">
        <v>2516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111</v>
      </c>
      <c r="C63" s="12" t="s">
        <v>2791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2538</v>
      </c>
      <c r="M63" s="12" t="s">
        <v>68</v>
      </c>
      <c r="N63" s="182"/>
      <c r="O63" s="12" t="s">
        <v>2516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111</v>
      </c>
      <c r="C64" s="12" t="s">
        <v>2796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2697</v>
      </c>
      <c r="J64" s="34" t="s">
        <v>68</v>
      </c>
      <c r="K64" s="12"/>
      <c r="L64" s="13" t="s">
        <v>2538</v>
      </c>
      <c r="M64" s="12" t="s">
        <v>68</v>
      </c>
      <c r="N64" s="182"/>
      <c r="O64" s="12" t="s">
        <v>2516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111</v>
      </c>
      <c r="C65" s="12" t="s">
        <v>2796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2697</v>
      </c>
      <c r="J65" s="34" t="s">
        <v>68</v>
      </c>
      <c r="K65" s="12"/>
      <c r="L65" s="13" t="s">
        <v>2538</v>
      </c>
      <c r="M65" s="12" t="s">
        <v>68</v>
      </c>
      <c r="N65" s="182"/>
      <c r="O65" s="12" t="s">
        <v>2516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1888</v>
      </c>
      <c r="C66" s="12" t="s">
        <v>2705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2804</v>
      </c>
      <c r="J66" s="34" t="s">
        <v>68</v>
      </c>
      <c r="K66" s="12"/>
      <c r="L66" s="13" t="s">
        <v>2538</v>
      </c>
      <c r="M66" s="12" t="s">
        <v>68</v>
      </c>
      <c r="N66" s="182"/>
      <c r="O66" s="12" t="s">
        <v>2516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2699</v>
      </c>
      <c r="AB66" s="13" t="s">
        <v>967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111</v>
      </c>
      <c r="C67" s="12" t="s">
        <v>2785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2810</v>
      </c>
      <c r="M67" s="12" t="s">
        <v>68</v>
      </c>
      <c r="N67" s="182"/>
      <c r="O67" s="12" t="s">
        <v>2516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2817</v>
      </c>
      <c r="J68" s="34" t="s">
        <v>68</v>
      </c>
      <c r="K68" s="12"/>
      <c r="L68" s="13" t="s">
        <v>2760</v>
      </c>
      <c r="M68" s="213" t="s">
        <v>68</v>
      </c>
      <c r="N68" s="182"/>
      <c r="O68" s="12" t="s">
        <v>2516</v>
      </c>
      <c r="P68" s="12" t="s">
        <v>284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1888</v>
      </c>
      <c r="C69" s="12" t="s">
        <v>2705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2826</v>
      </c>
      <c r="J69" s="34" t="s">
        <v>68</v>
      </c>
      <c r="K69" s="12"/>
      <c r="L69" s="13" t="s">
        <v>2538</v>
      </c>
      <c r="M69" s="12" t="s">
        <v>68</v>
      </c>
      <c r="N69" s="182"/>
      <c r="O69" s="12" t="s">
        <v>2516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2699</v>
      </c>
      <c r="AB69" s="13" t="s">
        <v>967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2831</v>
      </c>
      <c r="J70" s="34" t="s">
        <v>68</v>
      </c>
      <c r="K70" s="12"/>
      <c r="L70" s="13" t="s">
        <v>2760</v>
      </c>
      <c r="M70" s="213" t="s">
        <v>68</v>
      </c>
      <c r="N70" s="182"/>
      <c r="O70" s="12" t="s">
        <v>2516</v>
      </c>
      <c r="P70" s="12" t="s">
        <v>284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111</v>
      </c>
      <c r="C71" s="12" t="s">
        <v>2791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2515</v>
      </c>
      <c r="M71" s="213" t="s">
        <v>68</v>
      </c>
      <c r="N71" s="182"/>
      <c r="O71" s="12" t="s">
        <v>2516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111</v>
      </c>
      <c r="C72" s="12" t="s">
        <v>2791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2515</v>
      </c>
      <c r="M72" s="213" t="s">
        <v>68</v>
      </c>
      <c r="N72" s="182"/>
      <c r="O72" s="12" t="s">
        <v>2516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111</v>
      </c>
      <c r="C73" s="12" t="s">
        <v>2791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2515</v>
      </c>
      <c r="M73" s="213" t="s">
        <v>68</v>
      </c>
      <c r="N73" s="182"/>
      <c r="O73" s="12" t="s">
        <v>2516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2515</v>
      </c>
      <c r="M74" s="213" t="s">
        <v>68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2515</v>
      </c>
      <c r="M75" s="213" t="s">
        <v>68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1888</v>
      </c>
      <c r="C76" s="12" t="s">
        <v>2852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2697</v>
      </c>
      <c r="J76" s="34" t="s">
        <v>68</v>
      </c>
      <c r="K76" s="12">
        <v>19143011</v>
      </c>
      <c r="L76" s="13" t="s">
        <v>2538</v>
      </c>
      <c r="M76" s="12" t="s">
        <v>68</v>
      </c>
      <c r="N76" s="182"/>
      <c r="O76" s="12" t="s">
        <v>2516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2699</v>
      </c>
      <c r="AB76" s="13" t="s">
        <v>992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61</v>
      </c>
      <c r="C77" s="12" t="s">
        <v>2759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2810</v>
      </c>
      <c r="M77" s="12" t="s">
        <v>68</v>
      </c>
      <c r="N77" s="182"/>
      <c r="O77" s="12" t="s">
        <v>2516</v>
      </c>
      <c r="P77" s="12" t="s">
        <v>70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2699</v>
      </c>
      <c r="AB77" s="32" t="s">
        <v>992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1888</v>
      </c>
      <c r="C78" s="12" t="s">
        <v>2852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2804</v>
      </c>
      <c r="J78" s="34" t="s">
        <v>68</v>
      </c>
      <c r="K78" s="12"/>
      <c r="L78" s="13" t="s">
        <v>2538</v>
      </c>
      <c r="M78" s="12" t="s">
        <v>68</v>
      </c>
      <c r="N78" s="182"/>
      <c r="O78" s="12" t="s">
        <v>2516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2699</v>
      </c>
      <c r="AB78" s="13" t="s">
        <v>992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111</v>
      </c>
      <c r="C79" s="12" t="s">
        <v>2544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2545</v>
      </c>
      <c r="J79" s="34" t="s">
        <v>68</v>
      </c>
      <c r="K79" s="12">
        <v>19142931</v>
      </c>
      <c r="L79" s="13" t="s">
        <v>2538</v>
      </c>
      <c r="M79" s="12" t="s">
        <v>68</v>
      </c>
      <c r="N79" s="182"/>
      <c r="O79" s="12" t="s">
        <v>2516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2869</v>
      </c>
      <c r="J80" s="34" t="s">
        <v>68</v>
      </c>
      <c r="K80" s="12">
        <v>19143026</v>
      </c>
      <c r="L80" s="13" t="s">
        <v>2538</v>
      </c>
      <c r="M80" s="12" t="s">
        <v>68</v>
      </c>
      <c r="N80" s="182"/>
      <c r="O80" s="12" t="s">
        <v>2516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2872</v>
      </c>
      <c r="M81" s="12" t="s">
        <v>68</v>
      </c>
      <c r="N81" s="182"/>
      <c r="O81" s="12" t="s">
        <v>2516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111</v>
      </c>
      <c r="C82" s="12" t="s">
        <v>2879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2538</v>
      </c>
      <c r="M82" s="12" t="s">
        <v>68</v>
      </c>
      <c r="N82" s="182"/>
      <c r="O82" s="12" t="s">
        <v>2516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111</v>
      </c>
      <c r="C83" s="12" t="s">
        <v>2879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2515</v>
      </c>
      <c r="M83" s="213" t="s">
        <v>68</v>
      </c>
      <c r="N83" s="182"/>
      <c r="O83" s="12" t="s">
        <v>2516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111</v>
      </c>
      <c r="C84" s="12" t="s">
        <v>2879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2515</v>
      </c>
      <c r="M84" s="213" t="s">
        <v>68</v>
      </c>
      <c r="N84" s="182"/>
      <c r="O84" s="12" t="s">
        <v>2516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111</v>
      </c>
      <c r="C85" s="12" t="s">
        <v>2879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2515</v>
      </c>
      <c r="M85" s="213" t="s">
        <v>68</v>
      </c>
      <c r="N85" s="182"/>
      <c r="O85" s="12" t="s">
        <v>2516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111</v>
      </c>
      <c r="C86" s="12" t="s">
        <v>2901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2515</v>
      </c>
      <c r="M86" s="213" t="s">
        <v>68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111</v>
      </c>
      <c r="C87" s="12" t="s">
        <v>2904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2515</v>
      </c>
      <c r="M87" s="213" t="s">
        <v>68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111</v>
      </c>
      <c r="C88" s="12" t="s">
        <v>2544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2826</v>
      </c>
      <c r="J88" s="34" t="s">
        <v>68</v>
      </c>
      <c r="K88" s="12">
        <v>19143015</v>
      </c>
      <c r="L88" s="13" t="s">
        <v>2538</v>
      </c>
      <c r="M88" s="12" t="s">
        <v>68</v>
      </c>
      <c r="N88" s="182"/>
      <c r="O88" s="12" t="s">
        <v>2516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111</v>
      </c>
      <c r="C89" s="12" t="s">
        <v>2791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2515</v>
      </c>
      <c r="M89" s="213" t="s">
        <v>68</v>
      </c>
      <c r="N89" s="182"/>
      <c r="O89" s="12" t="s">
        <v>2516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1888</v>
      </c>
      <c r="C90" s="12" t="s">
        <v>2705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2530</v>
      </c>
      <c r="M90" s="12" t="s">
        <v>68</v>
      </c>
      <c r="N90" s="182"/>
      <c r="O90" s="12" t="s">
        <v>2516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2699</v>
      </c>
      <c r="AB90" s="13" t="s">
        <v>967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111</v>
      </c>
      <c r="C91" s="12" t="s">
        <v>2924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2569</v>
      </c>
      <c r="M91" s="12" t="s">
        <v>68</v>
      </c>
      <c r="N91" s="182"/>
      <c r="O91" s="12" t="s">
        <v>2570</v>
      </c>
      <c r="P91" s="12" t="s">
        <v>132</v>
      </c>
      <c r="Q91" s="12" t="s">
        <v>2925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111</v>
      </c>
      <c r="C92" s="12" t="s">
        <v>2584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2569</v>
      </c>
      <c r="M92" s="12" t="s">
        <v>68</v>
      </c>
      <c r="N92" s="182"/>
      <c r="O92" s="12" t="s">
        <v>2570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2826</v>
      </c>
      <c r="J93" s="34" t="s">
        <v>68</v>
      </c>
      <c r="K93" s="12">
        <v>19143078</v>
      </c>
      <c r="L93" s="13" t="s">
        <v>2538</v>
      </c>
      <c r="M93" s="12" t="s">
        <v>68</v>
      </c>
      <c r="N93" s="182"/>
      <c r="O93" s="12" t="s">
        <v>2516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61</v>
      </c>
      <c r="C94" s="12" t="s">
        <v>2755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2936</v>
      </c>
      <c r="L94" s="13" t="s">
        <v>2538</v>
      </c>
      <c r="M94" s="12" t="s">
        <v>68</v>
      </c>
      <c r="N94" s="182"/>
      <c r="O94" s="12" t="s">
        <v>2516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2699</v>
      </c>
      <c r="AB94" s="13" t="s">
        <v>967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111</v>
      </c>
      <c r="C95" s="12" t="s">
        <v>2738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2706</v>
      </c>
      <c r="J95" s="34" t="s">
        <v>68</v>
      </c>
      <c r="K95" s="12">
        <v>46010679</v>
      </c>
      <c r="L95" s="13" t="s">
        <v>2707</v>
      </c>
      <c r="M95" s="12" t="s">
        <v>68</v>
      </c>
      <c r="N95" s="182"/>
      <c r="O95" s="12" t="s">
        <v>2516</v>
      </c>
      <c r="P95" s="12" t="s">
        <v>550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111</v>
      </c>
      <c r="C96" s="12" t="s">
        <v>2945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2773</v>
      </c>
      <c r="M96" s="213" t="s">
        <v>68</v>
      </c>
      <c r="N96" s="182"/>
      <c r="O96" s="12" t="s">
        <v>2516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111</v>
      </c>
      <c r="C97" s="12" t="s">
        <v>2951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2773</v>
      </c>
      <c r="M97" s="213" t="s">
        <v>68</v>
      </c>
      <c r="N97" s="182"/>
      <c r="O97" s="12" t="s">
        <v>2516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111</v>
      </c>
      <c r="C98" s="12" t="s">
        <v>2791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2515</v>
      </c>
      <c r="M98" s="213" t="s">
        <v>68</v>
      </c>
      <c r="N98" s="182"/>
      <c r="O98" s="12" t="s">
        <v>2516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61</v>
      </c>
      <c r="C99" s="12" t="s">
        <v>2956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2712</v>
      </c>
      <c r="J99" s="34" t="s">
        <v>68</v>
      </c>
      <c r="K99" s="12" t="s">
        <v>2957</v>
      </c>
      <c r="L99" s="13" t="s">
        <v>2707</v>
      </c>
      <c r="M99" s="12" t="s">
        <v>68</v>
      </c>
      <c r="N99" s="182"/>
      <c r="O99" s="12" t="s">
        <v>2516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61</v>
      </c>
      <c r="C100" s="12" t="s">
        <v>2956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2707</v>
      </c>
      <c r="M100" s="12" t="s">
        <v>68</v>
      </c>
      <c r="N100" s="182"/>
      <c r="O100" s="12" t="s">
        <v>2516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61</v>
      </c>
      <c r="C101" s="12" t="s">
        <v>2956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2706</v>
      </c>
      <c r="J101" s="34" t="s">
        <v>68</v>
      </c>
      <c r="K101" s="12">
        <v>46010731</v>
      </c>
      <c r="L101" s="13" t="s">
        <v>2707</v>
      </c>
      <c r="M101" s="12" t="s">
        <v>68</v>
      </c>
      <c r="N101" s="182"/>
      <c r="O101" s="12" t="s">
        <v>2516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1888</v>
      </c>
      <c r="C102" s="12" t="s">
        <v>2705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2706</v>
      </c>
      <c r="J102" s="34" t="s">
        <v>68</v>
      </c>
      <c r="K102" s="12">
        <v>46010813</v>
      </c>
      <c r="L102" s="13" t="s">
        <v>2707</v>
      </c>
      <c r="M102" s="12" t="s">
        <v>68</v>
      </c>
      <c r="N102" s="182"/>
      <c r="O102" s="12" t="s">
        <v>2516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2699</v>
      </c>
      <c r="AB102" s="13" t="s">
        <v>967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2831</v>
      </c>
      <c r="J103" s="34" t="s">
        <v>68</v>
      </c>
      <c r="K103" s="12"/>
      <c r="L103" s="13" t="s">
        <v>2760</v>
      </c>
      <c r="M103" s="213" t="s">
        <v>68</v>
      </c>
      <c r="N103" s="182"/>
      <c r="O103" s="12" t="s">
        <v>2516</v>
      </c>
      <c r="P103" s="12" t="s">
        <v>284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111</v>
      </c>
      <c r="C104" s="12" t="s">
        <v>2791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2538</v>
      </c>
      <c r="M104" s="12" t="s">
        <v>68</v>
      </c>
      <c r="N104" s="182"/>
      <c r="O104" s="12" t="s">
        <v>2516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111</v>
      </c>
      <c r="C105" s="12" t="s">
        <v>2791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2538</v>
      </c>
      <c r="M105" s="12" t="s">
        <v>68</v>
      </c>
      <c r="N105" s="182"/>
      <c r="O105" s="12" t="s">
        <v>2516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111</v>
      </c>
      <c r="C106" s="12" t="s">
        <v>2791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2515</v>
      </c>
      <c r="M106" s="213" t="s">
        <v>68</v>
      </c>
      <c r="N106" s="182"/>
      <c r="O106" s="12" t="s">
        <v>2516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2817</v>
      </c>
      <c r="J107" s="34" t="s">
        <v>68</v>
      </c>
      <c r="K107" s="12"/>
      <c r="L107" s="13" t="s">
        <v>2760</v>
      </c>
      <c r="M107" s="213" t="s">
        <v>68</v>
      </c>
      <c r="N107" s="182"/>
      <c r="O107" s="12" t="s">
        <v>2516</v>
      </c>
      <c r="P107" s="12" t="s">
        <v>284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1888</v>
      </c>
      <c r="C108" s="12" t="s">
        <v>2852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2569</v>
      </c>
      <c r="M108" s="12" t="s">
        <v>68</v>
      </c>
      <c r="N108" s="182"/>
      <c r="O108" s="12" t="s">
        <v>2570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2699</v>
      </c>
      <c r="AB108" s="13" t="s">
        <v>992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1888</v>
      </c>
      <c r="C109" s="12" t="s">
        <v>2705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2707</v>
      </c>
      <c r="M109" s="213" t="s">
        <v>68</v>
      </c>
      <c r="N109" s="182"/>
      <c r="O109" s="12" t="s">
        <v>2516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2699</v>
      </c>
      <c r="AB109" s="13" t="s">
        <v>967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1888</v>
      </c>
      <c r="C110" s="12" t="s">
        <v>2705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2712</v>
      </c>
      <c r="J110" s="34" t="s">
        <v>68</v>
      </c>
      <c r="K110" s="12">
        <v>46010786</v>
      </c>
      <c r="L110" s="13" t="s">
        <v>2707</v>
      </c>
      <c r="M110" s="12" t="s">
        <v>68</v>
      </c>
      <c r="N110" s="182"/>
      <c r="O110" s="12" t="s">
        <v>2516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2699</v>
      </c>
      <c r="AB110" s="13" t="s">
        <v>967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1888</v>
      </c>
      <c r="C111" s="12" t="s">
        <v>2705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2712</v>
      </c>
      <c r="J111" s="34" t="s">
        <v>68</v>
      </c>
      <c r="K111" s="12">
        <v>46010787</v>
      </c>
      <c r="L111" s="13" t="s">
        <v>2707</v>
      </c>
      <c r="M111" s="12" t="s">
        <v>68</v>
      </c>
      <c r="N111" s="182"/>
      <c r="O111" s="12" t="s">
        <v>2516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2699</v>
      </c>
      <c r="AB111" s="13" t="s">
        <v>967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800</v>
      </c>
      <c r="C112" s="12" t="s">
        <v>2755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2817</v>
      </c>
      <c r="J112" s="34" t="s">
        <v>68</v>
      </c>
      <c r="K112" s="12"/>
      <c r="L112" s="13" t="s">
        <v>2760</v>
      </c>
      <c r="M112" s="213" t="s">
        <v>68</v>
      </c>
      <c r="N112" s="182"/>
      <c r="O112" s="12" t="s">
        <v>2516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2699</v>
      </c>
      <c r="AB112" s="13" t="s">
        <v>967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111</v>
      </c>
      <c r="C113" s="12" t="s">
        <v>2584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3017</v>
      </c>
      <c r="J113" s="34" t="s">
        <v>68</v>
      </c>
      <c r="K113" s="12" t="s">
        <v>3018</v>
      </c>
      <c r="L113" s="13" t="s">
        <v>2773</v>
      </c>
      <c r="M113" s="213" t="s">
        <v>68</v>
      </c>
      <c r="N113" s="182"/>
      <c r="O113" s="12" t="s">
        <v>2516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2515</v>
      </c>
      <c r="M114" s="213" t="s">
        <v>68</v>
      </c>
      <c r="N114" s="182"/>
      <c r="O114" s="12" t="s">
        <v>2516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111</v>
      </c>
      <c r="C115" s="12" t="s">
        <v>2945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2773</v>
      </c>
      <c r="M115" s="213" t="s">
        <v>68</v>
      </c>
      <c r="N115" s="182"/>
      <c r="O115" s="12" t="s">
        <v>2516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111</v>
      </c>
      <c r="C116" s="12" t="s">
        <v>2945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2773</v>
      </c>
      <c r="M116" s="213" t="s">
        <v>68</v>
      </c>
      <c r="N116" s="182"/>
      <c r="O116" s="12" t="s">
        <v>2516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111</v>
      </c>
      <c r="C117" s="12" t="s">
        <v>2945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3035</v>
      </c>
      <c r="L117" s="13" t="s">
        <v>2773</v>
      </c>
      <c r="M117" s="213" t="s">
        <v>68</v>
      </c>
      <c r="N117" s="182"/>
      <c r="O117" s="12" t="s">
        <v>2516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111</v>
      </c>
      <c r="C118" s="12" t="s">
        <v>2951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2773</v>
      </c>
      <c r="M118" s="213" t="s">
        <v>68</v>
      </c>
      <c r="N118" s="182"/>
      <c r="O118" s="12" t="s">
        <v>2516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2515</v>
      </c>
      <c r="M119" s="213" t="s">
        <v>68</v>
      </c>
      <c r="N119" s="182"/>
      <c r="O119" s="12" t="s">
        <v>2516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111</v>
      </c>
      <c r="C120" s="12" t="s">
        <v>3046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3047</v>
      </c>
      <c r="J120" s="34" t="s">
        <v>68</v>
      </c>
      <c r="K120" s="12">
        <v>19143062</v>
      </c>
      <c r="L120" s="13" t="s">
        <v>2538</v>
      </c>
      <c r="M120" s="12" t="s">
        <v>68</v>
      </c>
      <c r="N120" s="182"/>
      <c r="O120" s="12" t="s">
        <v>2516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111</v>
      </c>
      <c r="C121" s="12" t="s">
        <v>3046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3053</v>
      </c>
      <c r="J121" s="34" t="s">
        <v>68</v>
      </c>
      <c r="K121" s="12">
        <v>19142945</v>
      </c>
      <c r="L121" s="13" t="s">
        <v>2538</v>
      </c>
      <c r="M121" s="12" t="s">
        <v>68</v>
      </c>
      <c r="N121" s="182"/>
      <c r="O121" s="12" t="s">
        <v>2516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111</v>
      </c>
      <c r="C122" s="12" t="s">
        <v>3046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3056</v>
      </c>
      <c r="J122" s="34" t="s">
        <v>68</v>
      </c>
      <c r="K122" s="12">
        <v>19142942</v>
      </c>
      <c r="L122" s="13" t="s">
        <v>2538</v>
      </c>
      <c r="M122" s="12" t="s">
        <v>68</v>
      </c>
      <c r="N122" s="182"/>
      <c r="O122" s="12" t="s">
        <v>2516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2872</v>
      </c>
      <c r="M123" s="12" t="s">
        <v>68</v>
      </c>
      <c r="N123" s="182"/>
      <c r="O123" s="12" t="s">
        <v>2516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111</v>
      </c>
      <c r="C124" s="12" t="s">
        <v>2879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2515</v>
      </c>
      <c r="M124" s="213" t="s">
        <v>68</v>
      </c>
      <c r="N124" s="182"/>
      <c r="O124" s="12" t="s">
        <v>2516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111</v>
      </c>
      <c r="C125" s="12" t="s">
        <v>2879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2538</v>
      </c>
      <c r="M125" s="12" t="s">
        <v>68</v>
      </c>
      <c r="N125" s="182"/>
      <c r="O125" s="12" t="s">
        <v>2516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2515</v>
      </c>
      <c r="M126" s="213" t="s">
        <v>68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2760</v>
      </c>
      <c r="M127" s="12" t="s">
        <v>68</v>
      </c>
      <c r="N127" s="182"/>
      <c r="O127" s="12" t="s">
        <v>2516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2699</v>
      </c>
      <c r="AB127" s="13" t="s">
        <v>967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2817</v>
      </c>
      <c r="J128" s="34" t="s">
        <v>68</v>
      </c>
      <c r="K128" s="12"/>
      <c r="L128" s="13" t="s">
        <v>2760</v>
      </c>
      <c r="M128" s="213" t="s">
        <v>68</v>
      </c>
      <c r="N128" s="182"/>
      <c r="O128" s="12" t="s">
        <v>2516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2699</v>
      </c>
      <c r="AB128" s="13" t="s">
        <v>967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111</v>
      </c>
      <c r="C129" s="12" t="s">
        <v>2951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2773</v>
      </c>
      <c r="M129" s="213" t="s">
        <v>68</v>
      </c>
      <c r="N129" s="182"/>
      <c r="O129" s="12" t="s">
        <v>2516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111</v>
      </c>
      <c r="C130" s="12" t="s">
        <v>2951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3084</v>
      </c>
      <c r="L130" s="13" t="s">
        <v>2773</v>
      </c>
      <c r="M130" s="213" t="s">
        <v>68</v>
      </c>
      <c r="N130" s="182"/>
      <c r="O130" s="12" t="s">
        <v>2516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111</v>
      </c>
      <c r="C131" s="12" t="s">
        <v>2945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2773</v>
      </c>
      <c r="M131" s="213" t="s">
        <v>68</v>
      </c>
      <c r="N131" s="182"/>
      <c r="O131" s="12" t="s">
        <v>2516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3094</v>
      </c>
      <c r="J132" s="34" t="s">
        <v>68</v>
      </c>
      <c r="K132" s="12">
        <v>39011433</v>
      </c>
      <c r="L132" s="13" t="s">
        <v>2760</v>
      </c>
      <c r="M132" s="213" t="s">
        <v>68</v>
      </c>
      <c r="N132" s="182"/>
      <c r="O132" s="12" t="s">
        <v>2516</v>
      </c>
      <c r="P132" s="12" t="s">
        <v>284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3100</v>
      </c>
      <c r="J133" s="34" t="s">
        <v>68</v>
      </c>
      <c r="K133" s="12">
        <v>39011439</v>
      </c>
      <c r="L133" s="13" t="s">
        <v>2760</v>
      </c>
      <c r="M133" s="12" t="s">
        <v>68</v>
      </c>
      <c r="N133" s="182"/>
      <c r="O133" s="12" t="s">
        <v>2516</v>
      </c>
      <c r="P133" s="12" t="s">
        <v>284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3094</v>
      </c>
      <c r="J134" s="34" t="s">
        <v>68</v>
      </c>
      <c r="K134" s="12">
        <v>39011433</v>
      </c>
      <c r="L134" s="13" t="s">
        <v>2760</v>
      </c>
      <c r="M134" s="213" t="s">
        <v>68</v>
      </c>
      <c r="N134" s="182"/>
      <c r="O134" s="12" t="s">
        <v>2516</v>
      </c>
      <c r="P134" s="12" t="s">
        <v>284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3100</v>
      </c>
      <c r="J135" s="34" t="s">
        <v>68</v>
      </c>
      <c r="K135" s="12">
        <v>39011438</v>
      </c>
      <c r="L135" s="13" t="s">
        <v>2760</v>
      </c>
      <c r="M135" s="12" t="s">
        <v>68</v>
      </c>
      <c r="N135" s="182"/>
      <c r="O135" s="12" t="s">
        <v>2516</v>
      </c>
      <c r="P135" s="12" t="s">
        <v>284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111</v>
      </c>
      <c r="C136" s="12" t="s">
        <v>2791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2523</v>
      </c>
      <c r="M136" s="12" t="s">
        <v>68</v>
      </c>
      <c r="N136" s="182"/>
      <c r="O136" s="12" t="s">
        <v>2516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1888</v>
      </c>
      <c r="C137" s="12" t="s">
        <v>2705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3116</v>
      </c>
      <c r="J137" s="34" t="s">
        <v>68</v>
      </c>
      <c r="K137" s="12">
        <v>46010830</v>
      </c>
      <c r="L137" s="13" t="s">
        <v>2530</v>
      </c>
      <c r="M137" s="12" t="s">
        <v>68</v>
      </c>
      <c r="N137" s="182"/>
      <c r="O137" s="12" t="s">
        <v>2516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2699</v>
      </c>
      <c r="AB137" s="13" t="s">
        <v>967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3120</v>
      </c>
      <c r="J138" s="34" t="s">
        <v>68</v>
      </c>
      <c r="K138" s="12">
        <v>14130681</v>
      </c>
      <c r="L138" s="13" t="s">
        <v>2530</v>
      </c>
      <c r="M138" s="12" t="s">
        <v>68</v>
      </c>
      <c r="N138" s="182"/>
      <c r="O138" s="12" t="s">
        <v>2516</v>
      </c>
      <c r="P138" s="12" t="s">
        <v>70</v>
      </c>
      <c r="Q138" s="12" t="s">
        <v>3121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2699</v>
      </c>
      <c r="AB138" s="13" t="s">
        <v>967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61</v>
      </c>
      <c r="C139" s="12" t="s">
        <v>2956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2706</v>
      </c>
      <c r="J139" s="34" t="s">
        <v>68</v>
      </c>
      <c r="K139" s="12">
        <v>46010732</v>
      </c>
      <c r="L139" s="13" t="s">
        <v>2707</v>
      </c>
      <c r="M139" s="12" t="s">
        <v>68</v>
      </c>
      <c r="N139" s="182"/>
      <c r="O139" s="12" t="s">
        <v>2516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2523</v>
      </c>
      <c r="M140" s="12" t="s">
        <v>68</v>
      </c>
      <c r="N140" s="182"/>
      <c r="O140" s="12" t="s">
        <v>2516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2699</v>
      </c>
      <c r="AB140" s="13" t="s">
        <v>992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1888</v>
      </c>
      <c r="C141" s="12" t="s">
        <v>2852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2804</v>
      </c>
      <c r="J141" s="34" t="s">
        <v>68</v>
      </c>
      <c r="K141" s="12">
        <v>19142965</v>
      </c>
      <c r="L141" s="13" t="s">
        <v>2538</v>
      </c>
      <c r="M141" s="12" t="s">
        <v>68</v>
      </c>
      <c r="N141" s="182"/>
      <c r="O141" s="12" t="s">
        <v>2516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2699</v>
      </c>
      <c r="AB141" s="13" t="s">
        <v>992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1888</v>
      </c>
      <c r="C142" s="12" t="s">
        <v>2852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2749</v>
      </c>
      <c r="J142" s="34" t="s">
        <v>68</v>
      </c>
      <c r="K142" s="12">
        <v>19143011</v>
      </c>
      <c r="L142" s="13" t="s">
        <v>2538</v>
      </c>
      <c r="M142" s="12" t="s">
        <v>68</v>
      </c>
      <c r="N142" s="182"/>
      <c r="O142" s="12" t="s">
        <v>2516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2699</v>
      </c>
      <c r="AB142" s="13" t="s">
        <v>992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111</v>
      </c>
      <c r="C143" s="12" t="s">
        <v>2738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2515</v>
      </c>
      <c r="M143" s="213" t="s">
        <v>68</v>
      </c>
      <c r="N143" s="182"/>
      <c r="O143" s="12" t="s">
        <v>2516</v>
      </c>
      <c r="P143" s="12" t="s">
        <v>550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111</v>
      </c>
      <c r="C144" s="12" t="s">
        <v>2584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2523</v>
      </c>
      <c r="M144" s="12" t="s">
        <v>68</v>
      </c>
      <c r="N144" s="182"/>
      <c r="O144" s="12" t="s">
        <v>2516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2523</v>
      </c>
      <c r="M145" s="12" t="s">
        <v>68</v>
      </c>
      <c r="N145" s="182"/>
      <c r="O145" s="12" t="s">
        <v>2516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61</v>
      </c>
      <c r="C146" s="12" t="s">
        <v>3156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2706</v>
      </c>
      <c r="J146" s="34" t="s">
        <v>68</v>
      </c>
      <c r="K146" s="12">
        <v>46010831</v>
      </c>
      <c r="L146" s="13" t="s">
        <v>2707</v>
      </c>
      <c r="M146" s="12" t="s">
        <v>68</v>
      </c>
      <c r="N146" s="182"/>
      <c r="O146" s="12" t="s">
        <v>2516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61</v>
      </c>
      <c r="C147" s="12" t="s">
        <v>3156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2712</v>
      </c>
      <c r="J147" s="34" t="s">
        <v>68</v>
      </c>
      <c r="K147" s="12">
        <v>46010841</v>
      </c>
      <c r="L147" s="13" t="s">
        <v>2707</v>
      </c>
      <c r="M147" s="12" t="s">
        <v>68</v>
      </c>
      <c r="N147" s="182"/>
      <c r="O147" s="12" t="s">
        <v>2516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1888</v>
      </c>
      <c r="C148" s="12" t="s">
        <v>2852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3164</v>
      </c>
      <c r="J148" s="34" t="s">
        <v>68</v>
      </c>
      <c r="K148" s="12"/>
      <c r="L148" s="13" t="s">
        <v>2538</v>
      </c>
      <c r="M148" s="12" t="s">
        <v>68</v>
      </c>
      <c r="N148" s="182"/>
      <c r="O148" s="12" t="s">
        <v>2516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2699</v>
      </c>
      <c r="AB148" s="13" t="s">
        <v>992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111</v>
      </c>
      <c r="C149" s="12" t="s">
        <v>3046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3170</v>
      </c>
      <c r="J149" s="34" t="s">
        <v>68</v>
      </c>
      <c r="K149" s="12">
        <v>19142971</v>
      </c>
      <c r="L149" s="13" t="s">
        <v>2538</v>
      </c>
      <c r="M149" s="12" t="s">
        <v>68</v>
      </c>
      <c r="N149" s="182"/>
      <c r="O149" s="12" t="s">
        <v>2516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2530</v>
      </c>
      <c r="M150" s="41" t="s">
        <v>68</v>
      </c>
      <c r="N150" s="184"/>
      <c r="O150" s="41" t="s">
        <v>2516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2699</v>
      </c>
      <c r="AB150" s="13" t="s">
        <v>967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3094</v>
      </c>
      <c r="J151" s="173" t="s">
        <v>68</v>
      </c>
      <c r="K151" s="41">
        <v>39011434</v>
      </c>
      <c r="L151" s="13" t="s">
        <v>2760</v>
      </c>
      <c r="M151" s="225" t="s">
        <v>68</v>
      </c>
      <c r="N151" s="184"/>
      <c r="O151" s="41" t="s">
        <v>2516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2699</v>
      </c>
      <c r="AB151" s="13" t="s">
        <v>967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111</v>
      </c>
      <c r="C152" s="12" t="s">
        <v>2650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3184</v>
      </c>
      <c r="J152" s="34" t="s">
        <v>68</v>
      </c>
      <c r="K152" s="12">
        <v>46010759</v>
      </c>
      <c r="L152" s="13" t="s">
        <v>2760</v>
      </c>
      <c r="M152" s="12" t="s">
        <v>68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111</v>
      </c>
      <c r="C153" s="12" t="s">
        <v>3189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2515</v>
      </c>
      <c r="M153" s="213" t="s">
        <v>68</v>
      </c>
      <c r="N153" s="182"/>
      <c r="O153" s="12" t="s">
        <v>2516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2515</v>
      </c>
      <c r="M154" s="225" t="s">
        <v>68</v>
      </c>
      <c r="N154" s="184"/>
      <c r="O154" s="41" t="s">
        <v>2516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2699</v>
      </c>
      <c r="AB154" s="13" t="s">
        <v>967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61</v>
      </c>
      <c r="C155" s="12" t="s">
        <v>3199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2706</v>
      </c>
      <c r="J155" s="34" t="s">
        <v>68</v>
      </c>
      <c r="K155" s="12">
        <v>46010813</v>
      </c>
      <c r="L155" s="13" t="s">
        <v>2707</v>
      </c>
      <c r="M155" s="12" t="s">
        <v>68</v>
      </c>
      <c r="N155" s="182"/>
      <c r="O155" s="12" t="s">
        <v>2516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2699</v>
      </c>
      <c r="AB155" s="13" t="s">
        <v>967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61</v>
      </c>
      <c r="C156" s="12" t="s">
        <v>3199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2712</v>
      </c>
      <c r="J156" s="34" t="s">
        <v>68</v>
      </c>
      <c r="K156" s="12" t="s">
        <v>3204</v>
      </c>
      <c r="L156" s="13" t="s">
        <v>2707</v>
      </c>
      <c r="M156" s="12" t="s">
        <v>68</v>
      </c>
      <c r="N156" s="182"/>
      <c r="O156" s="12" t="s">
        <v>2516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2699</v>
      </c>
      <c r="AB156" s="13" t="s">
        <v>967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61</v>
      </c>
      <c r="C157" s="12" t="s">
        <v>3199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2707</v>
      </c>
      <c r="M157" s="12" t="s">
        <v>68</v>
      </c>
      <c r="N157" s="182"/>
      <c r="O157" s="12" t="s">
        <v>2516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2699</v>
      </c>
      <c r="AB157" s="13" t="s">
        <v>967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61</v>
      </c>
      <c r="C158" s="12" t="s">
        <v>3199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3212</v>
      </c>
      <c r="J158" s="34" t="s">
        <v>68</v>
      </c>
      <c r="K158" s="12">
        <v>46010833</v>
      </c>
      <c r="L158" s="13" t="s">
        <v>2707</v>
      </c>
      <c r="M158" s="213" t="s">
        <v>68</v>
      </c>
      <c r="N158" s="182"/>
      <c r="O158" s="12" t="s">
        <v>2516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2699</v>
      </c>
      <c r="AB158" s="13" t="s">
        <v>967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2826</v>
      </c>
      <c r="J159" s="34" t="s">
        <v>68</v>
      </c>
      <c r="K159" s="12">
        <v>19143160</v>
      </c>
      <c r="L159" s="13" t="s">
        <v>2538</v>
      </c>
      <c r="M159" s="12" t="s">
        <v>68</v>
      </c>
      <c r="N159" s="182"/>
      <c r="O159" s="12" t="s">
        <v>2516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61</v>
      </c>
      <c r="C160" s="12" t="s">
        <v>3214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2826</v>
      </c>
      <c r="J160" s="34" t="s">
        <v>68</v>
      </c>
      <c r="K160" s="12">
        <v>19143077</v>
      </c>
      <c r="L160" s="13" t="s">
        <v>2538</v>
      </c>
      <c r="M160" s="12" t="s">
        <v>68</v>
      </c>
      <c r="N160" s="182"/>
      <c r="O160" s="12" t="s">
        <v>2516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61</v>
      </c>
      <c r="C161" s="12" t="s">
        <v>3223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2826</v>
      </c>
      <c r="J161" s="34" t="s">
        <v>68</v>
      </c>
      <c r="K161" s="12">
        <v>19143077</v>
      </c>
      <c r="L161" s="13" t="s">
        <v>2538</v>
      </c>
      <c r="M161" s="12" t="s">
        <v>68</v>
      </c>
      <c r="N161" s="182"/>
      <c r="O161" s="12" t="s">
        <v>2516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61</v>
      </c>
      <c r="C162" s="12" t="s">
        <v>3199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2706</v>
      </c>
      <c r="J162" s="34" t="s">
        <v>68</v>
      </c>
      <c r="K162" s="12">
        <v>46010812</v>
      </c>
      <c r="L162" s="13" t="s">
        <v>2707</v>
      </c>
      <c r="M162" s="12" t="s">
        <v>68</v>
      </c>
      <c r="N162" s="182"/>
      <c r="O162" s="12" t="s">
        <v>2516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2699</v>
      </c>
      <c r="AB162" s="13" t="s">
        <v>967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61</v>
      </c>
      <c r="C163" s="12" t="s">
        <v>2755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2817</v>
      </c>
      <c r="J163" s="34" t="s">
        <v>68</v>
      </c>
      <c r="K163" s="12"/>
      <c r="L163" s="13" t="s">
        <v>2760</v>
      </c>
      <c r="M163" s="213" t="s">
        <v>68</v>
      </c>
      <c r="N163" s="182"/>
      <c r="O163" s="12" t="s">
        <v>2516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2699</v>
      </c>
      <c r="AB163" s="13" t="s">
        <v>967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111</v>
      </c>
      <c r="C164" s="12" t="s">
        <v>2650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3184</v>
      </c>
      <c r="J164" s="34" t="s">
        <v>68</v>
      </c>
      <c r="K164" s="12">
        <v>46010760</v>
      </c>
      <c r="L164" s="13" t="s">
        <v>2760</v>
      </c>
      <c r="M164" s="12" t="s">
        <v>68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111</v>
      </c>
      <c r="C165" s="12" t="s">
        <v>2945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3239</v>
      </c>
      <c r="L165" s="13" t="s">
        <v>2773</v>
      </c>
      <c r="M165" s="213" t="s">
        <v>68</v>
      </c>
      <c r="N165" s="182"/>
      <c r="O165" s="12" t="s">
        <v>2516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111</v>
      </c>
      <c r="C166" s="12" t="s">
        <v>2951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2773</v>
      </c>
      <c r="M166" s="213" t="s">
        <v>68</v>
      </c>
      <c r="N166" s="182"/>
      <c r="O166" s="12" t="s">
        <v>2516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2538</v>
      </c>
      <c r="M167" s="12" t="s">
        <v>68</v>
      </c>
      <c r="N167" s="182"/>
      <c r="O167" s="12" t="s">
        <v>2516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111</v>
      </c>
      <c r="C168" s="12" t="s">
        <v>2791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2538</v>
      </c>
      <c r="M168" s="12" t="s">
        <v>68</v>
      </c>
      <c r="N168" s="182"/>
      <c r="O168" s="12" t="s">
        <v>2516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61</v>
      </c>
      <c r="C169" s="12" t="s">
        <v>2956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2515</v>
      </c>
      <c r="M169" s="213" t="s">
        <v>68</v>
      </c>
      <c r="N169" s="182"/>
      <c r="O169" s="12" t="s">
        <v>2516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2530</v>
      </c>
      <c r="M170" s="12" t="s">
        <v>68</v>
      </c>
      <c r="N170" s="183"/>
      <c r="O170" s="31" t="s">
        <v>2516</v>
      </c>
      <c r="P170" s="31" t="s">
        <v>70</v>
      </c>
      <c r="Q170" s="31" t="s">
        <v>2698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2699</v>
      </c>
      <c r="AB170" s="13" t="s">
        <v>967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111</v>
      </c>
      <c r="C171" s="12" t="s">
        <v>2544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3258</v>
      </c>
      <c r="J171" s="34" t="s">
        <v>68</v>
      </c>
      <c r="K171" s="12"/>
      <c r="L171" s="13" t="s">
        <v>2538</v>
      </c>
      <c r="M171" s="12" t="s">
        <v>68</v>
      </c>
      <c r="N171" s="182"/>
      <c r="O171" s="12" t="s">
        <v>2516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111</v>
      </c>
      <c r="C172" s="12" t="s">
        <v>2584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3262</v>
      </c>
      <c r="J172" s="34" t="s">
        <v>68</v>
      </c>
      <c r="K172" s="12">
        <v>20519178</v>
      </c>
      <c r="L172" s="13" t="s">
        <v>2872</v>
      </c>
      <c r="M172" s="12" t="s">
        <v>68</v>
      </c>
      <c r="N172" s="182"/>
      <c r="O172" s="12" t="s">
        <v>2516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800</v>
      </c>
      <c r="C173" s="12" t="s">
        <v>2755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3094</v>
      </c>
      <c r="J173" s="34" t="s">
        <v>68</v>
      </c>
      <c r="K173" s="12">
        <v>39011433</v>
      </c>
      <c r="L173" s="13" t="s">
        <v>2760</v>
      </c>
      <c r="M173" s="213" t="s">
        <v>68</v>
      </c>
      <c r="N173" s="182"/>
      <c r="O173" s="12" t="s">
        <v>2516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2699</v>
      </c>
      <c r="AB173" s="13" t="s">
        <v>967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61</v>
      </c>
      <c r="C174" s="41" t="s">
        <v>2755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2872</v>
      </c>
      <c r="M174" s="41" t="s">
        <v>68</v>
      </c>
      <c r="N174" s="184"/>
      <c r="O174" s="41" t="s">
        <v>2516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2699</v>
      </c>
      <c r="AB174" s="13" t="s">
        <v>967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61</v>
      </c>
      <c r="C175" s="12" t="s">
        <v>3156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2706</v>
      </c>
      <c r="J175" s="34" t="s">
        <v>68</v>
      </c>
      <c r="K175" s="12">
        <v>46010831</v>
      </c>
      <c r="L175" s="13" t="s">
        <v>2707</v>
      </c>
      <c r="M175" s="12" t="s">
        <v>68</v>
      </c>
      <c r="N175" s="182"/>
      <c r="O175" s="12" t="s">
        <v>2516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111</v>
      </c>
      <c r="C176" s="12" t="s">
        <v>2738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2515</v>
      </c>
      <c r="M176" s="213" t="s">
        <v>68</v>
      </c>
      <c r="N176" s="182"/>
      <c r="O176" s="12" t="s">
        <v>2516</v>
      </c>
      <c r="P176" s="12" t="s">
        <v>550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61</v>
      </c>
      <c r="C177" s="12" t="s">
        <v>3283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3047</v>
      </c>
      <c r="J177" s="34" t="s">
        <v>68</v>
      </c>
      <c r="K177" s="12">
        <v>19143062</v>
      </c>
      <c r="L177" s="13" t="s">
        <v>2538</v>
      </c>
      <c r="M177" s="12" t="s">
        <v>68</v>
      </c>
      <c r="N177" s="182"/>
      <c r="O177" s="12" t="s">
        <v>2516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2699</v>
      </c>
      <c r="AB177" s="13" t="s">
        <v>992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61</v>
      </c>
      <c r="C178" s="12" t="s">
        <v>3283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2804</v>
      </c>
      <c r="J178" s="34" t="s">
        <v>68</v>
      </c>
      <c r="K178" s="12">
        <v>19142965</v>
      </c>
      <c r="L178" s="13" t="s">
        <v>2538</v>
      </c>
      <c r="M178" s="12" t="s">
        <v>68</v>
      </c>
      <c r="N178" s="182"/>
      <c r="O178" s="12" t="s">
        <v>2516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2699</v>
      </c>
      <c r="AB178" s="13" t="s">
        <v>992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61</v>
      </c>
      <c r="C179" s="12" t="s">
        <v>3223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3262</v>
      </c>
      <c r="J179" s="34" t="s">
        <v>68</v>
      </c>
      <c r="K179" s="12">
        <v>20519178</v>
      </c>
      <c r="L179" s="13" t="s">
        <v>2872</v>
      </c>
      <c r="M179" s="12" t="s">
        <v>68</v>
      </c>
      <c r="N179" s="182"/>
      <c r="O179" s="12" t="s">
        <v>2516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61</v>
      </c>
      <c r="C180" s="12" t="s">
        <v>3199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2579</v>
      </c>
      <c r="J180" s="34" t="s">
        <v>68</v>
      </c>
      <c r="K180" s="12">
        <v>19143078</v>
      </c>
      <c r="L180" s="13" t="s">
        <v>2538</v>
      </c>
      <c r="M180" s="12" t="s">
        <v>68</v>
      </c>
      <c r="N180" s="182"/>
      <c r="O180" s="12" t="s">
        <v>2516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2699</v>
      </c>
      <c r="AB180" s="13" t="s">
        <v>967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61</v>
      </c>
      <c r="C181" s="12" t="s">
        <v>3199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3116</v>
      </c>
      <c r="J181" s="34" t="s">
        <v>68</v>
      </c>
      <c r="K181" s="12">
        <v>46010830</v>
      </c>
      <c r="L181" s="13" t="s">
        <v>2530</v>
      </c>
      <c r="M181" s="12" t="s">
        <v>68</v>
      </c>
      <c r="N181" s="182"/>
      <c r="O181" s="12" t="s">
        <v>2516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2699</v>
      </c>
      <c r="AB181" s="13" t="s">
        <v>967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61</v>
      </c>
      <c r="C182" s="12" t="s">
        <v>3199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2826</v>
      </c>
      <c r="J182" s="34" t="s">
        <v>68</v>
      </c>
      <c r="K182" s="12">
        <v>19143077</v>
      </c>
      <c r="L182" s="13" t="s">
        <v>2538</v>
      </c>
      <c r="M182" s="12" t="s">
        <v>68</v>
      </c>
      <c r="N182" s="182"/>
      <c r="O182" s="12" t="s">
        <v>2516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2699</v>
      </c>
      <c r="AB182" s="13" t="s">
        <v>967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61</v>
      </c>
      <c r="C183" s="12" t="s">
        <v>3199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3116</v>
      </c>
      <c r="J183" s="34" t="s">
        <v>68</v>
      </c>
      <c r="K183" s="12">
        <v>46010830</v>
      </c>
      <c r="L183" s="13" t="s">
        <v>2530</v>
      </c>
      <c r="M183" s="12" t="s">
        <v>68</v>
      </c>
      <c r="N183" s="182"/>
      <c r="O183" s="12" t="s">
        <v>2516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2699</v>
      </c>
      <c r="AB183" s="13" t="s">
        <v>967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111</v>
      </c>
      <c r="C184" s="12" t="s">
        <v>3189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2515</v>
      </c>
      <c r="M184" s="213" t="s">
        <v>68</v>
      </c>
      <c r="N184" s="182"/>
      <c r="O184" s="12" t="s">
        <v>2516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111</v>
      </c>
      <c r="C185" s="12" t="s">
        <v>3189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2523</v>
      </c>
      <c r="M185" s="12" t="s">
        <v>68</v>
      </c>
      <c r="N185" s="182"/>
      <c r="O185" s="12" t="s">
        <v>2516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111</v>
      </c>
      <c r="C186" s="12" t="s">
        <v>2650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3184</v>
      </c>
      <c r="J186" s="34" t="s">
        <v>68</v>
      </c>
      <c r="K186" s="12">
        <v>46010761</v>
      </c>
      <c r="L186" s="13" t="s">
        <v>2760</v>
      </c>
      <c r="M186" s="12" t="s">
        <v>68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2872</v>
      </c>
      <c r="M187" s="12" t="s">
        <v>68</v>
      </c>
      <c r="N187" s="183"/>
      <c r="O187" s="12" t="s">
        <v>2570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2515</v>
      </c>
      <c r="M188" s="213" t="s">
        <v>68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111</v>
      </c>
      <c r="C189" s="12" t="s">
        <v>2904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2515</v>
      </c>
      <c r="M189" s="213" t="s">
        <v>68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3170</v>
      </c>
      <c r="J190" s="34" t="s">
        <v>68</v>
      </c>
      <c r="K190" s="12">
        <v>19142971</v>
      </c>
      <c r="L190" s="13" t="s">
        <v>2538</v>
      </c>
      <c r="M190" s="12" t="s">
        <v>68</v>
      </c>
      <c r="N190" s="182"/>
      <c r="O190" s="12" t="s">
        <v>2516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61</v>
      </c>
      <c r="C191" s="41" t="s">
        <v>3223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3262</v>
      </c>
      <c r="J191" s="173" t="s">
        <v>68</v>
      </c>
      <c r="K191" s="41">
        <v>20519178</v>
      </c>
      <c r="L191" s="13" t="s">
        <v>2872</v>
      </c>
      <c r="M191" s="41" t="s">
        <v>68</v>
      </c>
      <c r="N191" s="184"/>
      <c r="O191" s="41" t="s">
        <v>2516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111</v>
      </c>
      <c r="C192" s="12" t="s">
        <v>3046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2826</v>
      </c>
      <c r="J192" s="34" t="s">
        <v>68</v>
      </c>
      <c r="K192" s="12">
        <v>19143015</v>
      </c>
      <c r="L192" s="13" t="s">
        <v>2538</v>
      </c>
      <c r="M192" s="12" t="s">
        <v>68</v>
      </c>
      <c r="N192" s="182"/>
      <c r="O192" s="12" t="s">
        <v>2516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111</v>
      </c>
      <c r="C193" s="12" t="s">
        <v>3189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2515</v>
      </c>
      <c r="M193" s="213" t="s">
        <v>68</v>
      </c>
      <c r="N193" s="182"/>
      <c r="O193" s="12" t="s">
        <v>2516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2872</v>
      </c>
      <c r="M194" s="41" t="s">
        <v>68</v>
      </c>
      <c r="N194" s="184"/>
      <c r="O194" s="41" t="s">
        <v>2516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2699</v>
      </c>
      <c r="AB194" s="13" t="s">
        <v>967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2523</v>
      </c>
      <c r="M195" s="12" t="s">
        <v>68</v>
      </c>
      <c r="N195" s="182"/>
      <c r="O195" s="12" t="s">
        <v>2516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2872</v>
      </c>
      <c r="M196" s="12" t="s">
        <v>68</v>
      </c>
      <c r="N196" s="182"/>
      <c r="O196" s="12" t="s">
        <v>2516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2538</v>
      </c>
      <c r="M197" s="12" t="s">
        <v>68</v>
      </c>
      <c r="N197" s="182"/>
      <c r="O197" s="12" t="s">
        <v>2516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111</v>
      </c>
      <c r="C198" s="12" t="s">
        <v>3370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2515</v>
      </c>
      <c r="M198" s="213" t="s">
        <v>68</v>
      </c>
      <c r="N198" s="182"/>
      <c r="O198" s="12" t="s">
        <v>2516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111</v>
      </c>
      <c r="C199" s="12" t="s">
        <v>3370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2515</v>
      </c>
      <c r="M199" s="213" t="s">
        <v>68</v>
      </c>
      <c r="N199" s="182"/>
      <c r="O199" s="12" t="s">
        <v>2516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2538</v>
      </c>
      <c r="M200" s="12" t="s">
        <v>68</v>
      </c>
      <c r="N200" s="182"/>
      <c r="O200" s="12" t="s">
        <v>2516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61</v>
      </c>
      <c r="C201" s="12" t="s">
        <v>3384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2760</v>
      </c>
      <c r="M201" s="12" t="s">
        <v>68</v>
      </c>
      <c r="N201" s="182"/>
      <c r="O201" s="12" t="s">
        <v>2516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1888</v>
      </c>
      <c r="C202" s="12" t="s">
        <v>2852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2538</v>
      </c>
      <c r="M202" s="12" t="s">
        <v>68</v>
      </c>
      <c r="N202" s="182"/>
      <c r="O202" s="12" t="s">
        <v>2516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2699</v>
      </c>
      <c r="AB202" s="13" t="s">
        <v>992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111</v>
      </c>
      <c r="C203" s="12" t="s">
        <v>3370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2872</v>
      </c>
      <c r="M203" s="12" t="s">
        <v>68</v>
      </c>
      <c r="N203" s="182"/>
      <c r="O203" s="12" t="s">
        <v>2516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2773</v>
      </c>
      <c r="M204" s="213" t="s">
        <v>68</v>
      </c>
      <c r="N204" s="182"/>
      <c r="O204" s="12" t="s">
        <v>2516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3283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2804</v>
      </c>
      <c r="J205" s="34" t="s">
        <v>68</v>
      </c>
      <c r="K205" s="12">
        <v>19142965</v>
      </c>
      <c r="L205" s="13" t="s">
        <v>2538</v>
      </c>
      <c r="M205" s="12" t="s">
        <v>68</v>
      </c>
      <c r="N205" s="182"/>
      <c r="O205" s="12" t="s">
        <v>2516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2699</v>
      </c>
      <c r="AB205" s="13" t="s">
        <v>992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3094</v>
      </c>
      <c r="J206" s="34" t="s">
        <v>68</v>
      </c>
      <c r="K206" s="12">
        <v>39011435</v>
      </c>
      <c r="L206" s="13" t="s">
        <v>2760</v>
      </c>
      <c r="M206" s="213" t="s">
        <v>68</v>
      </c>
      <c r="N206" s="182"/>
      <c r="O206" s="12" t="s">
        <v>2516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2699</v>
      </c>
      <c r="AB206" s="13" t="s">
        <v>967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111</v>
      </c>
      <c r="C207" s="12" t="s">
        <v>3370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2515</v>
      </c>
      <c r="M207" s="213" t="s">
        <v>68</v>
      </c>
      <c r="N207" s="182"/>
      <c r="O207" s="12" t="s">
        <v>2516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111</v>
      </c>
      <c r="C208" s="12" t="s">
        <v>3370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2872</v>
      </c>
      <c r="M208" s="12" t="s">
        <v>68</v>
      </c>
      <c r="N208" s="182"/>
      <c r="O208" s="12" t="s">
        <v>2516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3420</v>
      </c>
      <c r="J209" s="34" t="s">
        <v>68</v>
      </c>
      <c r="K209" s="12">
        <v>46010772</v>
      </c>
      <c r="L209" s="13" t="s">
        <v>2760</v>
      </c>
      <c r="M209" s="12" t="s">
        <v>68</v>
      </c>
      <c r="N209" s="182"/>
      <c r="O209" s="12" t="s">
        <v>2516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111</v>
      </c>
      <c r="C210" s="12" t="s">
        <v>3425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2538</v>
      </c>
      <c r="M210" s="12" t="s">
        <v>68</v>
      </c>
      <c r="N210" s="182"/>
      <c r="O210" s="12" t="s">
        <v>2516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111</v>
      </c>
      <c r="C211" s="12" t="s">
        <v>2738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2515</v>
      </c>
      <c r="M211" s="213" t="s">
        <v>68</v>
      </c>
      <c r="N211" s="182"/>
      <c r="O211" s="12" t="s">
        <v>2516</v>
      </c>
      <c r="P211" s="12" t="s">
        <v>550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2538</v>
      </c>
      <c r="M212" s="12" t="s">
        <v>68</v>
      </c>
      <c r="N212" s="182"/>
      <c r="O212" s="12" t="s">
        <v>2516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111</v>
      </c>
      <c r="C213" s="12" t="s">
        <v>3189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2538</v>
      </c>
      <c r="M213" s="12" t="s">
        <v>68</v>
      </c>
      <c r="N213" s="182"/>
      <c r="O213" s="12" t="s">
        <v>2516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111</v>
      </c>
      <c r="C214" s="12" t="s">
        <v>3434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2538</v>
      </c>
      <c r="M214" s="12" t="s">
        <v>68</v>
      </c>
      <c r="N214" s="182"/>
      <c r="O214" s="12" t="s">
        <v>2516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111</v>
      </c>
      <c r="C215" s="12" t="s">
        <v>3434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2538</v>
      </c>
      <c r="M215" s="12" t="s">
        <v>68</v>
      </c>
      <c r="N215" s="182"/>
      <c r="O215" s="12" t="s">
        <v>2516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2515</v>
      </c>
      <c r="M216" s="213" t="s">
        <v>68</v>
      </c>
      <c r="N216" s="182"/>
      <c r="O216" s="12" t="s">
        <v>2516</v>
      </c>
      <c r="P216" s="12" t="s">
        <v>298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296</v>
      </c>
      <c r="C217" s="12" t="s">
        <v>3447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2872</v>
      </c>
      <c r="M217" s="12" t="s">
        <v>68</v>
      </c>
      <c r="N217" s="182"/>
      <c r="O217" s="12" t="s">
        <v>2516</v>
      </c>
      <c r="P217" s="12" t="s">
        <v>298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2515</v>
      </c>
      <c r="M218" s="213" t="s">
        <v>68</v>
      </c>
      <c r="N218" s="182"/>
      <c r="O218" s="12" t="s">
        <v>2516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2872</v>
      </c>
      <c r="M219" s="12" t="s">
        <v>68</v>
      </c>
      <c r="N219" s="182"/>
      <c r="O219" s="12" t="s">
        <v>2516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111</v>
      </c>
      <c r="C220" s="12" t="s">
        <v>3370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2538</v>
      </c>
      <c r="M220" s="12" t="s">
        <v>68</v>
      </c>
      <c r="N220" s="182"/>
      <c r="O220" s="12" t="s">
        <v>2516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111</v>
      </c>
      <c r="C221" s="12" t="s">
        <v>2924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2538</v>
      </c>
      <c r="M221" s="12" t="s">
        <v>68</v>
      </c>
      <c r="N221" s="182"/>
      <c r="O221" s="12" t="s">
        <v>2516</v>
      </c>
      <c r="P221" s="12" t="s">
        <v>132</v>
      </c>
      <c r="Q221" s="12" t="s">
        <v>2925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111</v>
      </c>
      <c r="C222" s="12" t="s">
        <v>2924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2538</v>
      </c>
      <c r="M222" s="12" t="s">
        <v>68</v>
      </c>
      <c r="N222" s="182"/>
      <c r="O222" s="12" t="s">
        <v>2516</v>
      </c>
      <c r="P222" s="12" t="s">
        <v>132</v>
      </c>
      <c r="Q222" s="12" t="s">
        <v>2925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2538</v>
      </c>
      <c r="M223" s="12" t="s">
        <v>68</v>
      </c>
      <c r="N223" s="182"/>
      <c r="O223" s="12" t="s">
        <v>2516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2538</v>
      </c>
      <c r="M224" s="12" t="s">
        <v>68</v>
      </c>
      <c r="N224" s="182"/>
      <c r="O224" s="12" t="s">
        <v>2516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296</v>
      </c>
      <c r="C225" s="12" t="s">
        <v>3483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2515</v>
      </c>
      <c r="M225" s="213" t="s">
        <v>68</v>
      </c>
      <c r="N225" s="182"/>
      <c r="O225" s="12" t="s">
        <v>2516</v>
      </c>
      <c r="P225" s="12" t="s">
        <v>298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2515</v>
      </c>
      <c r="M226" s="213" t="s">
        <v>68</v>
      </c>
      <c r="N226" s="182"/>
      <c r="O226" s="12" t="s">
        <v>2516</v>
      </c>
      <c r="P226" s="12" t="s">
        <v>550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111</v>
      </c>
      <c r="C227" s="12" t="s">
        <v>3189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2515</v>
      </c>
      <c r="M227" s="213" t="s">
        <v>68</v>
      </c>
      <c r="N227" s="182"/>
      <c r="O227" s="12" t="s">
        <v>2516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2515</v>
      </c>
      <c r="M228" s="213" t="s">
        <v>68</v>
      </c>
      <c r="N228" s="182"/>
      <c r="O228" s="12" t="s">
        <v>2516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111</v>
      </c>
      <c r="C229" s="12" t="s">
        <v>3434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2538</v>
      </c>
      <c r="M229" s="12" t="s">
        <v>68</v>
      </c>
      <c r="N229" s="182"/>
      <c r="O229" s="12" t="s">
        <v>2516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111</v>
      </c>
      <c r="C230" s="12" t="s">
        <v>3189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2538</v>
      </c>
      <c r="M230" s="12" t="s">
        <v>68</v>
      </c>
      <c r="N230" s="182"/>
      <c r="O230" s="12" t="s">
        <v>2516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111</v>
      </c>
      <c r="C231" s="12" t="s">
        <v>3189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2538</v>
      </c>
      <c r="M231" s="12" t="s">
        <v>68</v>
      </c>
      <c r="N231" s="182"/>
      <c r="O231" s="12" t="s">
        <v>2516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296</v>
      </c>
      <c r="C232" s="12" t="s">
        <v>3483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2538</v>
      </c>
      <c r="M232" s="12" t="s">
        <v>68</v>
      </c>
      <c r="N232" s="182"/>
      <c r="O232" s="12" t="s">
        <v>2516</v>
      </c>
      <c r="P232" s="12" t="s">
        <v>298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296</v>
      </c>
      <c r="C233" s="12" t="s">
        <v>3483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2538</v>
      </c>
      <c r="M233" s="12" t="s">
        <v>68</v>
      </c>
      <c r="N233" s="182"/>
      <c r="O233" s="12" t="s">
        <v>2516</v>
      </c>
      <c r="P233" s="12" t="s">
        <v>298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111</v>
      </c>
      <c r="C234" s="12" t="s">
        <v>2796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2804</v>
      </c>
      <c r="J234" s="34" t="s">
        <v>68</v>
      </c>
      <c r="K234" s="12"/>
      <c r="L234" s="13" t="s">
        <v>2538</v>
      </c>
      <c r="M234" s="12" t="s">
        <v>68</v>
      </c>
      <c r="N234" s="182"/>
      <c r="O234" s="12" t="s">
        <v>2516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2538</v>
      </c>
      <c r="M235" s="12" t="s">
        <v>68</v>
      </c>
      <c r="N235" s="182"/>
      <c r="O235" s="12" t="s">
        <v>2516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2538</v>
      </c>
      <c r="M236" s="12" t="s">
        <v>68</v>
      </c>
      <c r="N236" s="182"/>
      <c r="O236" s="12" t="s">
        <v>2516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111</v>
      </c>
      <c r="C237" s="12" t="s">
        <v>3189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2515</v>
      </c>
      <c r="M237" s="213" t="s">
        <v>68</v>
      </c>
      <c r="N237" s="182"/>
      <c r="O237" s="12" t="s">
        <v>2516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2538</v>
      </c>
      <c r="M238" s="12" t="s">
        <v>68</v>
      </c>
      <c r="N238" s="182"/>
      <c r="O238" s="12" t="s">
        <v>2516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2515</v>
      </c>
      <c r="M239" s="213" t="s">
        <v>68</v>
      </c>
      <c r="N239" s="182"/>
      <c r="O239" s="12" t="s">
        <v>2516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2515</v>
      </c>
      <c r="M240" s="213" t="s">
        <v>68</v>
      </c>
      <c r="N240" s="182"/>
      <c r="O240" s="12" t="s">
        <v>2516</v>
      </c>
      <c r="P240" s="12" t="s">
        <v>550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111</v>
      </c>
      <c r="C241" s="12" t="s">
        <v>3425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2538</v>
      </c>
      <c r="M241" s="12" t="s">
        <v>68</v>
      </c>
      <c r="N241" s="182"/>
      <c r="O241" s="12" t="s">
        <v>2516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111</v>
      </c>
      <c r="C242" s="12" t="s">
        <v>2924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3547</v>
      </c>
      <c r="J242" s="34" t="s">
        <v>68</v>
      </c>
      <c r="K242" s="12">
        <v>16102590</v>
      </c>
      <c r="L242" s="13" t="s">
        <v>2523</v>
      </c>
      <c r="M242" s="12" t="s">
        <v>68</v>
      </c>
      <c r="N242" s="182"/>
      <c r="O242" s="12" t="s">
        <v>2516</v>
      </c>
      <c r="P242" s="12" t="s">
        <v>132</v>
      </c>
      <c r="Q242" s="12" t="s">
        <v>2925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2523</v>
      </c>
      <c r="M243" s="12" t="s">
        <v>68</v>
      </c>
      <c r="N243" s="182"/>
      <c r="O243" s="12" t="s">
        <v>2516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111</v>
      </c>
      <c r="C244" s="12" t="s">
        <v>3541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2515</v>
      </c>
      <c r="M244" s="213" t="s">
        <v>68</v>
      </c>
      <c r="N244" s="182"/>
      <c r="O244" s="12" t="s">
        <v>2516</v>
      </c>
      <c r="P244" s="12" t="s">
        <v>550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111</v>
      </c>
      <c r="C245" s="12" t="s">
        <v>2650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3184</v>
      </c>
      <c r="J245" s="34" t="s">
        <v>68</v>
      </c>
      <c r="K245" s="12">
        <v>46010762</v>
      </c>
      <c r="L245" s="13" t="s">
        <v>2760</v>
      </c>
      <c r="M245" s="12" t="s">
        <v>68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296</v>
      </c>
      <c r="C246" s="12" t="s">
        <v>3483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2515</v>
      </c>
      <c r="M246" s="213" t="s">
        <v>68</v>
      </c>
      <c r="N246" s="182"/>
      <c r="O246" s="12" t="s">
        <v>2516</v>
      </c>
      <c r="P246" s="12" t="s">
        <v>298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61</v>
      </c>
      <c r="C247" s="12" t="s">
        <v>3384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3572</v>
      </c>
      <c r="J247" s="34" t="s">
        <v>68</v>
      </c>
      <c r="K247" s="12">
        <v>46010907</v>
      </c>
      <c r="L247" s="13" t="s">
        <v>2530</v>
      </c>
      <c r="M247" s="12" t="s">
        <v>68</v>
      </c>
      <c r="N247" s="182"/>
      <c r="O247" s="12" t="s">
        <v>2516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77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3577</v>
      </c>
      <c r="J248" s="34" t="s">
        <v>68</v>
      </c>
      <c r="K248" s="12">
        <v>16102577</v>
      </c>
      <c r="L248" s="13" t="s">
        <v>2523</v>
      </c>
      <c r="M248" s="12" t="s">
        <v>68</v>
      </c>
      <c r="N248" s="182"/>
      <c r="O248" s="12" t="s">
        <v>2516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3577</v>
      </c>
      <c r="J249" s="34" t="s">
        <v>68</v>
      </c>
      <c r="K249" s="12">
        <v>16102577</v>
      </c>
      <c r="L249" s="13" t="s">
        <v>2523</v>
      </c>
      <c r="M249" s="12" t="s">
        <v>68</v>
      </c>
      <c r="N249" s="182"/>
      <c r="O249" s="12" t="s">
        <v>2516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111</v>
      </c>
      <c r="C250" s="12" t="s">
        <v>3588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3577</v>
      </c>
      <c r="J250" s="34" t="s">
        <v>68</v>
      </c>
      <c r="K250" s="12">
        <v>16102577</v>
      </c>
      <c r="L250" s="13" t="s">
        <v>2523</v>
      </c>
      <c r="M250" s="12" t="s">
        <v>68</v>
      </c>
      <c r="N250" s="182"/>
      <c r="O250" s="12" t="s">
        <v>2516</v>
      </c>
      <c r="P250" s="12" t="s">
        <v>70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111</v>
      </c>
      <c r="C251" s="12" t="s">
        <v>3582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3577</v>
      </c>
      <c r="J251" s="34" t="s">
        <v>68</v>
      </c>
      <c r="K251" s="12">
        <v>16102577</v>
      </c>
      <c r="L251" s="13" t="s">
        <v>2523</v>
      </c>
      <c r="M251" s="12" t="s">
        <v>68</v>
      </c>
      <c r="N251" s="182"/>
      <c r="O251" s="12" t="s">
        <v>2516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2538</v>
      </c>
      <c r="M252" s="12" t="s">
        <v>68</v>
      </c>
      <c r="N252" s="182"/>
      <c r="O252" s="12" t="s">
        <v>2516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2538</v>
      </c>
      <c r="M253" s="12" t="s">
        <v>68</v>
      </c>
      <c r="N253" s="182"/>
      <c r="O253" s="12" t="s">
        <v>2516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2515</v>
      </c>
      <c r="M254" s="213" t="s">
        <v>68</v>
      </c>
      <c r="N254" s="182"/>
      <c r="O254" s="12" t="s">
        <v>2516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2515</v>
      </c>
      <c r="M255" s="213" t="s">
        <v>68</v>
      </c>
      <c r="N255" s="182"/>
      <c r="O255" s="12" t="s">
        <v>2516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2872</v>
      </c>
      <c r="M256" s="12" t="s">
        <v>68</v>
      </c>
      <c r="N256" s="182"/>
      <c r="O256" s="12" t="s">
        <v>2516</v>
      </c>
      <c r="P256" s="12" t="s">
        <v>473</v>
      </c>
      <c r="Q256" s="12" t="s">
        <v>474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61</v>
      </c>
      <c r="C257" s="12" t="s">
        <v>3616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2538</v>
      </c>
      <c r="M257" s="12" t="s">
        <v>68</v>
      </c>
      <c r="N257" s="182"/>
      <c r="O257" s="12" t="s">
        <v>2516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2515</v>
      </c>
      <c r="M258" s="213" t="s">
        <v>68</v>
      </c>
      <c r="N258" s="182"/>
      <c r="O258" s="12" t="s">
        <v>2516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111</v>
      </c>
      <c r="C259" s="12" t="s">
        <v>3621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2515</v>
      </c>
      <c r="M259" s="213" t="s">
        <v>68</v>
      </c>
      <c r="N259" s="182"/>
      <c r="O259" s="12" t="s">
        <v>2516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61</v>
      </c>
      <c r="C260" s="12" t="s">
        <v>3156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2515</v>
      </c>
      <c r="M260" s="213" t="s">
        <v>68</v>
      </c>
      <c r="N260" s="182"/>
      <c r="O260" s="12" t="s">
        <v>2516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61</v>
      </c>
      <c r="C261" s="12" t="s">
        <v>3156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3633</v>
      </c>
      <c r="J261" s="34" t="s">
        <v>68</v>
      </c>
      <c r="K261" s="12">
        <v>46011055</v>
      </c>
      <c r="L261" s="13" t="s">
        <v>2707</v>
      </c>
      <c r="M261" s="12" t="s">
        <v>68</v>
      </c>
      <c r="N261" s="182"/>
      <c r="O261" s="12" t="s">
        <v>2516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111</v>
      </c>
      <c r="C262" s="12" t="s">
        <v>3635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2515</v>
      </c>
      <c r="M262" s="213" t="s">
        <v>68</v>
      </c>
      <c r="N262" s="182"/>
      <c r="O262" s="12" t="s">
        <v>2516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2538</v>
      </c>
      <c r="M263" s="12" t="s">
        <v>68</v>
      </c>
      <c r="N263" s="182"/>
      <c r="O263" s="12" t="s">
        <v>2516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2872</v>
      </c>
      <c r="M264" s="12" t="s">
        <v>68</v>
      </c>
      <c r="N264" s="182"/>
      <c r="O264" s="12" t="s">
        <v>2516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2872</v>
      </c>
      <c r="M265" s="12" t="s">
        <v>68</v>
      </c>
      <c r="N265" s="182"/>
      <c r="O265" s="12" t="s">
        <v>2516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296</v>
      </c>
      <c r="C266" s="12" t="s">
        <v>3483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2538</v>
      </c>
      <c r="M266" s="12" t="s">
        <v>68</v>
      </c>
      <c r="N266" s="182"/>
      <c r="O266" s="12" t="s">
        <v>2516</v>
      </c>
      <c r="P266" s="12" t="s">
        <v>298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111</v>
      </c>
      <c r="C267" s="12" t="s">
        <v>3657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2538</v>
      </c>
      <c r="M267" s="12" t="s">
        <v>68</v>
      </c>
      <c r="N267" s="182"/>
      <c r="O267" s="12" t="s">
        <v>2516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2699</v>
      </c>
      <c r="AB267" s="32" t="s">
        <v>992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2538</v>
      </c>
      <c r="M268" s="12" t="s">
        <v>68</v>
      </c>
      <c r="N268" s="182"/>
      <c r="O268" s="12" t="s">
        <v>2516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2872</v>
      </c>
      <c r="M269" s="12" t="s">
        <v>68</v>
      </c>
      <c r="N269" s="182"/>
      <c r="O269" s="12" t="s">
        <v>2516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111</v>
      </c>
      <c r="C270" s="12" t="s">
        <v>2924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2538</v>
      </c>
      <c r="M270" s="12" t="s">
        <v>68</v>
      </c>
      <c r="N270" s="182"/>
      <c r="O270" s="12" t="s">
        <v>2516</v>
      </c>
      <c r="P270" s="12" t="s">
        <v>132</v>
      </c>
      <c r="Q270" s="12" t="s">
        <v>2925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61</v>
      </c>
      <c r="C271" s="12" t="s">
        <v>3616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3212</v>
      </c>
      <c r="J271" s="34" t="s">
        <v>68</v>
      </c>
      <c r="K271" s="12">
        <v>46010916</v>
      </c>
      <c r="L271" s="13" t="s">
        <v>2707</v>
      </c>
      <c r="M271" s="213" t="s">
        <v>68</v>
      </c>
      <c r="N271" s="182"/>
      <c r="O271" s="12" t="s">
        <v>2516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111</v>
      </c>
      <c r="C272" s="12" t="s">
        <v>3223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2872</v>
      </c>
      <c r="M272" s="12" t="s">
        <v>68</v>
      </c>
      <c r="N272" s="182"/>
      <c r="O272" s="12" t="s">
        <v>2516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61</v>
      </c>
      <c r="C273" s="12" t="s">
        <v>3384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2872</v>
      </c>
      <c r="M273" s="12" t="s">
        <v>68</v>
      </c>
      <c r="N273" s="182"/>
      <c r="O273" s="12" t="s">
        <v>2516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111</v>
      </c>
      <c r="C274" s="12" t="s">
        <v>2924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3547</v>
      </c>
      <c r="J274" s="34" t="s">
        <v>68</v>
      </c>
      <c r="K274" s="12">
        <v>16102590</v>
      </c>
      <c r="L274" s="13" t="s">
        <v>2523</v>
      </c>
      <c r="M274" s="12" t="s">
        <v>68</v>
      </c>
      <c r="N274" s="182"/>
      <c r="O274" s="12" t="s">
        <v>2516</v>
      </c>
      <c r="P274" s="12" t="s">
        <v>132</v>
      </c>
      <c r="Q274" s="12" t="s">
        <v>2925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61</v>
      </c>
      <c r="C275" s="12" t="s">
        <v>3283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2872</v>
      </c>
      <c r="M275" s="12" t="s">
        <v>68</v>
      </c>
      <c r="N275" s="182"/>
      <c r="O275" s="12" t="s">
        <v>2516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2699</v>
      </c>
      <c r="AB275" s="13" t="s">
        <v>992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61</v>
      </c>
      <c r="C276" s="12" t="s">
        <v>3156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2712</v>
      </c>
      <c r="J276" s="34" t="s">
        <v>68</v>
      </c>
      <c r="K276" s="12">
        <v>46010917</v>
      </c>
      <c r="L276" s="13" t="s">
        <v>2707</v>
      </c>
      <c r="M276" s="12" t="s">
        <v>68</v>
      </c>
      <c r="N276" s="182"/>
      <c r="O276" s="12" t="s">
        <v>2516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2872</v>
      </c>
      <c r="M277" s="12" t="s">
        <v>68</v>
      </c>
      <c r="N277" s="182"/>
      <c r="O277" s="12" t="s">
        <v>2516</v>
      </c>
      <c r="P277" s="12" t="s">
        <v>70</v>
      </c>
      <c r="Q277" s="12" t="s">
        <v>2698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2699</v>
      </c>
      <c r="AB277" s="13" t="s">
        <v>967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2538</v>
      </c>
      <c r="M278" s="12" t="s">
        <v>68</v>
      </c>
      <c r="N278" s="182"/>
      <c r="O278" s="12" t="s">
        <v>2516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2872</v>
      </c>
      <c r="M279" s="12" t="s">
        <v>68</v>
      </c>
      <c r="N279" s="182"/>
      <c r="O279" s="12" t="s">
        <v>2516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2538</v>
      </c>
      <c r="M280" s="12" t="s">
        <v>68</v>
      </c>
      <c r="N280" s="182"/>
      <c r="O280" s="12" t="s">
        <v>2516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111</v>
      </c>
      <c r="C281" s="12" t="s">
        <v>3702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2538</v>
      </c>
      <c r="M281" s="12" t="s">
        <v>68</v>
      </c>
      <c r="N281" s="182"/>
      <c r="O281" s="12" t="s">
        <v>2516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61</v>
      </c>
      <c r="C282" s="12" t="s">
        <v>3156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2515</v>
      </c>
      <c r="M282" s="213" t="s">
        <v>68</v>
      </c>
      <c r="N282" s="182"/>
      <c r="O282" s="12" t="s">
        <v>2516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111</v>
      </c>
      <c r="C283" s="12" t="s">
        <v>3702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2515</v>
      </c>
      <c r="M283" s="213" t="s">
        <v>68</v>
      </c>
      <c r="N283" s="182"/>
      <c r="O283" s="12" t="s">
        <v>2516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2872</v>
      </c>
      <c r="M284" s="12" t="s">
        <v>68</v>
      </c>
      <c r="N284" s="182"/>
      <c r="O284" s="12" t="s">
        <v>2516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111</v>
      </c>
      <c r="C285" s="12" t="s">
        <v>3702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2872</v>
      </c>
      <c r="M285" s="12" t="s">
        <v>68</v>
      </c>
      <c r="N285" s="182"/>
      <c r="O285" s="12" t="s">
        <v>2516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111</v>
      </c>
      <c r="C286" s="12" t="s">
        <v>3702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2515</v>
      </c>
      <c r="M286" s="213" t="s">
        <v>68</v>
      </c>
      <c r="N286" s="182"/>
      <c r="O286" s="12" t="s">
        <v>2516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61</v>
      </c>
      <c r="C287" s="12" t="s">
        <v>3726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3727</v>
      </c>
      <c r="J287" s="34" t="s">
        <v>68</v>
      </c>
      <c r="K287" s="12"/>
      <c r="L287" s="13" t="s">
        <v>2515</v>
      </c>
      <c r="M287" s="213" t="s">
        <v>68</v>
      </c>
      <c r="N287" s="182"/>
      <c r="O287" s="12" t="s">
        <v>2516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2699</v>
      </c>
      <c r="AB287" s="13" t="s">
        <v>967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111</v>
      </c>
      <c r="C288" s="12" t="s">
        <v>3582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3577</v>
      </c>
      <c r="J288" s="34" t="s">
        <v>68</v>
      </c>
      <c r="K288" s="12">
        <v>16102578</v>
      </c>
      <c r="L288" s="13" t="s">
        <v>2523</v>
      </c>
      <c r="M288" s="12" t="s">
        <v>68</v>
      </c>
      <c r="N288" s="182"/>
      <c r="O288" s="12" t="s">
        <v>2516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111</v>
      </c>
      <c r="C289" s="12" t="s">
        <v>3576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3577</v>
      </c>
      <c r="J289" s="34" t="s">
        <v>68</v>
      </c>
      <c r="K289" s="12">
        <v>16102578</v>
      </c>
      <c r="L289" s="13" t="s">
        <v>2523</v>
      </c>
      <c r="M289" s="12" t="s">
        <v>68</v>
      </c>
      <c r="N289" s="182"/>
      <c r="O289" s="12" t="s">
        <v>2516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111</v>
      </c>
      <c r="C290" s="12" t="s">
        <v>3588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3577</v>
      </c>
      <c r="J290" s="34" t="s">
        <v>68</v>
      </c>
      <c r="K290" s="12">
        <v>16102578</v>
      </c>
      <c r="L290" s="13" t="s">
        <v>2523</v>
      </c>
      <c r="M290" s="12" t="s">
        <v>68</v>
      </c>
      <c r="N290" s="182"/>
      <c r="O290" s="12" t="s">
        <v>2516</v>
      </c>
      <c r="P290" s="12" t="s">
        <v>70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111</v>
      </c>
      <c r="C291" s="12" t="s">
        <v>3582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3577</v>
      </c>
      <c r="J291" s="34" t="s">
        <v>68</v>
      </c>
      <c r="K291" s="12">
        <v>16102578</v>
      </c>
      <c r="L291" s="13" t="s">
        <v>2523</v>
      </c>
      <c r="M291" s="12" t="s">
        <v>68</v>
      </c>
      <c r="N291" s="182"/>
      <c r="O291" s="12" t="s">
        <v>2516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111</v>
      </c>
      <c r="C292" s="12" t="s">
        <v>3582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3577</v>
      </c>
      <c r="J292" s="34" t="s">
        <v>68</v>
      </c>
      <c r="K292" s="12">
        <v>16102578</v>
      </c>
      <c r="L292" s="13" t="s">
        <v>2523</v>
      </c>
      <c r="M292" s="12" t="s">
        <v>68</v>
      </c>
      <c r="N292" s="182"/>
      <c r="O292" s="12" t="s">
        <v>2516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111</v>
      </c>
      <c r="C293" s="12" t="s">
        <v>3702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2515</v>
      </c>
      <c r="M293" s="213" t="s">
        <v>68</v>
      </c>
      <c r="N293" s="182"/>
      <c r="O293" s="12" t="s">
        <v>2516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111</v>
      </c>
      <c r="C294" s="12" t="s">
        <v>3576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3577</v>
      </c>
      <c r="J294" s="34" t="s">
        <v>68</v>
      </c>
      <c r="K294" s="12">
        <v>16102578</v>
      </c>
      <c r="L294" s="13" t="s">
        <v>2523</v>
      </c>
      <c r="M294" s="12" t="s">
        <v>68</v>
      </c>
      <c r="N294" s="182"/>
      <c r="O294" s="12" t="s">
        <v>2516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61</v>
      </c>
      <c r="C295" s="12" t="s">
        <v>3156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2515</v>
      </c>
      <c r="M295" s="213" t="s">
        <v>68</v>
      </c>
      <c r="N295" s="182"/>
      <c r="O295" s="12" t="s">
        <v>2516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61</v>
      </c>
      <c r="C296" s="12" t="s">
        <v>3616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3751</v>
      </c>
      <c r="J296" s="34" t="s">
        <v>68</v>
      </c>
      <c r="K296" s="12">
        <v>46010991</v>
      </c>
      <c r="L296" s="13" t="s">
        <v>2707</v>
      </c>
      <c r="M296" s="12" t="s">
        <v>68</v>
      </c>
      <c r="N296" s="182"/>
      <c r="O296" s="12" t="s">
        <v>2570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61</v>
      </c>
      <c r="C297" s="12" t="s">
        <v>3616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3751</v>
      </c>
      <c r="J297" s="34" t="s">
        <v>68</v>
      </c>
      <c r="K297" s="12">
        <v>46010992</v>
      </c>
      <c r="L297" s="13" t="s">
        <v>2707</v>
      </c>
      <c r="M297" s="12" t="s">
        <v>68</v>
      </c>
      <c r="N297" s="182"/>
      <c r="O297" s="12" t="s">
        <v>2570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61</v>
      </c>
      <c r="C298" s="12" t="s">
        <v>3616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3751</v>
      </c>
      <c r="J298" s="34" t="s">
        <v>68</v>
      </c>
      <c r="K298" s="12">
        <v>46010993</v>
      </c>
      <c r="L298" s="13" t="s">
        <v>2707</v>
      </c>
      <c r="M298" s="12" t="s">
        <v>68</v>
      </c>
      <c r="N298" s="182"/>
      <c r="O298" s="12" t="s">
        <v>2570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2515</v>
      </c>
      <c r="M299" s="213" t="s">
        <v>68</v>
      </c>
      <c r="N299" s="182"/>
      <c r="O299" s="12" t="s">
        <v>2516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111</v>
      </c>
      <c r="C300" s="12" t="s">
        <v>3757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2523</v>
      </c>
      <c r="M300" s="12" t="s">
        <v>68</v>
      </c>
      <c r="N300" s="182"/>
      <c r="O300" s="12" t="s">
        <v>2516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111</v>
      </c>
      <c r="C301" s="12" t="s">
        <v>3763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2538</v>
      </c>
      <c r="M301" s="12" t="s">
        <v>68</v>
      </c>
      <c r="N301" s="182"/>
      <c r="O301" s="12" t="s">
        <v>2516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2515</v>
      </c>
      <c r="M302" s="213" t="s">
        <v>68</v>
      </c>
      <c r="N302" s="182"/>
      <c r="O302" s="12" t="s">
        <v>2516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3772</v>
      </c>
      <c r="B303" s="41" t="s">
        <v>111</v>
      </c>
      <c r="C303" s="41" t="s">
        <v>3773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2773</v>
      </c>
      <c r="M303" s="225" t="s">
        <v>68</v>
      </c>
      <c r="N303" s="184"/>
      <c r="O303" s="41" t="s">
        <v>2516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430" t="s">
        <v>3774</v>
      </c>
      <c r="AC303" s="37">
        <v>45970</v>
      </c>
      <c r="AD303" s="174">
        <v>45</v>
      </c>
      <c r="AE303" s="287" t="s">
        <v>3775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3776</v>
      </c>
      <c r="AQ303" s="41"/>
      <c r="AR303" s="41" t="s">
        <v>3777</v>
      </c>
      <c r="AS303" s="41" t="s">
        <v>3778</v>
      </c>
      <c r="AT303" s="41" t="s">
        <v>3778</v>
      </c>
      <c r="AU303" s="41">
        <v>40</v>
      </c>
      <c r="AV303" s="41" t="s">
        <v>2534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2521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3779</v>
      </c>
      <c r="B304" s="12" t="s">
        <v>111</v>
      </c>
      <c r="C304" s="12" t="s">
        <v>3780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2523</v>
      </c>
      <c r="M304" s="12" t="s">
        <v>68</v>
      </c>
      <c r="N304" s="182"/>
      <c r="O304" s="12" t="s">
        <v>2516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61</v>
      </c>
      <c r="C305" s="12" t="s">
        <v>3283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2538</v>
      </c>
      <c r="M305" s="12" t="s">
        <v>68</v>
      </c>
      <c r="N305" s="182"/>
      <c r="O305" s="12" t="s">
        <v>2516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2699</v>
      </c>
      <c r="AB305" s="13" t="s">
        <v>992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61</v>
      </c>
      <c r="C306" s="12" t="s">
        <v>3790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2538</v>
      </c>
      <c r="M306" s="12" t="s">
        <v>68</v>
      </c>
      <c r="N306" s="182"/>
      <c r="O306" s="12" t="s">
        <v>2516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61</v>
      </c>
      <c r="C307" s="12" t="s">
        <v>3790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2538</v>
      </c>
      <c r="M307" s="213" t="s">
        <v>68</v>
      </c>
      <c r="N307" s="182"/>
      <c r="O307" s="12" t="s">
        <v>2516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61</v>
      </c>
      <c r="C308" s="12" t="s">
        <v>3800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2538</v>
      </c>
      <c r="M308" s="12" t="s">
        <v>68</v>
      </c>
      <c r="N308" s="182"/>
      <c r="O308" s="12" t="s">
        <v>2516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2707</v>
      </c>
      <c r="M309" s="12" t="s">
        <v>68</v>
      </c>
      <c r="N309" s="182"/>
      <c r="O309" s="12" t="s">
        <v>2516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61</v>
      </c>
      <c r="C310" s="12" t="s">
        <v>3800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2538</v>
      </c>
      <c r="M310" s="213" t="s">
        <v>68</v>
      </c>
      <c r="N310" s="182"/>
      <c r="O310" s="12" t="s">
        <v>2516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61</v>
      </c>
      <c r="C311" s="12" t="s">
        <v>3223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2538</v>
      </c>
      <c r="M311" s="12" t="s">
        <v>68</v>
      </c>
      <c r="N311" s="182"/>
      <c r="O311" s="12" t="s">
        <v>2516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111</v>
      </c>
      <c r="C312" s="12" t="s">
        <v>3763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2538</v>
      </c>
      <c r="M312" s="12" t="s">
        <v>68</v>
      </c>
      <c r="N312" s="182"/>
      <c r="O312" s="12" t="s">
        <v>2516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111</v>
      </c>
      <c r="C313" s="12" t="s">
        <v>3763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2538</v>
      </c>
      <c r="M313" s="12" t="s">
        <v>68</v>
      </c>
      <c r="N313" s="182"/>
      <c r="O313" s="12" t="s">
        <v>2516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111</v>
      </c>
      <c r="C314" s="12" t="s">
        <v>3820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2773</v>
      </c>
      <c r="M314" s="213" t="s">
        <v>68</v>
      </c>
      <c r="N314" s="182"/>
      <c r="O314" s="12" t="s">
        <v>2516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111</v>
      </c>
      <c r="C315" s="12" t="s">
        <v>2924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3547</v>
      </c>
      <c r="J315" s="34" t="s">
        <v>68</v>
      </c>
      <c r="K315" s="12">
        <v>16102590</v>
      </c>
      <c r="L315" s="13" t="s">
        <v>2523</v>
      </c>
      <c r="M315" s="12" t="s">
        <v>68</v>
      </c>
      <c r="N315" s="182"/>
      <c r="O315" s="12" t="s">
        <v>2516</v>
      </c>
      <c r="P315" s="12" t="s">
        <v>132</v>
      </c>
      <c r="Q315" s="12" t="s">
        <v>2925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111</v>
      </c>
      <c r="C316" s="12" t="s">
        <v>2924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3547</v>
      </c>
      <c r="J316" s="34" t="s">
        <v>68</v>
      </c>
      <c r="K316" s="12">
        <v>16102590</v>
      </c>
      <c r="L316" s="13" t="s">
        <v>2523</v>
      </c>
      <c r="M316" s="12" t="s">
        <v>68</v>
      </c>
      <c r="N316" s="182"/>
      <c r="O316" s="12" t="s">
        <v>2516</v>
      </c>
      <c r="P316" s="12" t="s">
        <v>132</v>
      </c>
      <c r="Q316" s="12" t="s">
        <v>2925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111</v>
      </c>
      <c r="C317" s="12" t="s">
        <v>3820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2773</v>
      </c>
      <c r="M317" s="213" t="s">
        <v>68</v>
      </c>
      <c r="N317" s="182"/>
      <c r="O317" s="12" t="s">
        <v>2516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61</v>
      </c>
      <c r="C318" s="12" t="s">
        <v>3800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2538</v>
      </c>
      <c r="M318" s="213" t="s">
        <v>68</v>
      </c>
      <c r="N318" s="182"/>
      <c r="O318" s="12" t="s">
        <v>2516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111</v>
      </c>
      <c r="C319" s="12" t="s">
        <v>3773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2773</v>
      </c>
      <c r="M319" s="213" t="s">
        <v>68</v>
      </c>
      <c r="N319" s="182"/>
      <c r="O319" s="12" t="s">
        <v>2516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61</v>
      </c>
      <c r="C320" s="12" t="s">
        <v>3790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2538</v>
      </c>
      <c r="M320" s="213" t="s">
        <v>68</v>
      </c>
      <c r="N320" s="182"/>
      <c r="O320" s="12" t="s">
        <v>2516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2772</v>
      </c>
      <c r="J321" s="34" t="s">
        <v>68</v>
      </c>
      <c r="K321" s="12" t="s">
        <v>328</v>
      </c>
      <c r="L321" s="13" t="s">
        <v>2773</v>
      </c>
      <c r="M321" s="213" t="s">
        <v>68</v>
      </c>
      <c r="N321" s="182"/>
      <c r="O321" s="12" t="s">
        <v>2516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111</v>
      </c>
      <c r="C322" s="12" t="s">
        <v>3773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2773</v>
      </c>
      <c r="M322" s="213" t="s">
        <v>68</v>
      </c>
      <c r="N322" s="182"/>
      <c r="O322" s="12" t="s">
        <v>2516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111</v>
      </c>
      <c r="C323" s="12" t="s">
        <v>3773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2773</v>
      </c>
      <c r="M323" s="213" t="s">
        <v>68</v>
      </c>
      <c r="N323" s="182"/>
      <c r="O323" s="12" t="s">
        <v>2516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61</v>
      </c>
      <c r="C324" s="12" t="s">
        <v>3800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2538</v>
      </c>
      <c r="M324" s="213" t="s">
        <v>68</v>
      </c>
      <c r="N324" s="182"/>
      <c r="O324" s="12" t="s">
        <v>2516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111</v>
      </c>
      <c r="C325" s="12" t="s">
        <v>3820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2773</v>
      </c>
      <c r="M325" s="213" t="s">
        <v>68</v>
      </c>
      <c r="N325" s="182"/>
      <c r="O325" s="12" t="s">
        <v>2516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2523</v>
      </c>
      <c r="M326" s="12" t="s">
        <v>68</v>
      </c>
      <c r="N326" s="182"/>
      <c r="O326" s="12" t="s">
        <v>2516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111</v>
      </c>
      <c r="C327" s="12" t="s">
        <v>3875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2523</v>
      </c>
      <c r="M327" s="12" t="s">
        <v>68</v>
      </c>
      <c r="N327" s="182"/>
      <c r="O327" s="12" t="s">
        <v>2516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2523</v>
      </c>
      <c r="M328" s="12" t="s">
        <v>68</v>
      </c>
      <c r="N328" s="182"/>
      <c r="O328" s="12" t="s">
        <v>2516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111</v>
      </c>
      <c r="C329" s="12" t="s">
        <v>3763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2538</v>
      </c>
      <c r="M329" s="213" t="s">
        <v>68</v>
      </c>
      <c r="N329" s="182"/>
      <c r="O329" s="12" t="s">
        <v>2516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111</v>
      </c>
      <c r="C330" s="12" t="s">
        <v>3763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2872</v>
      </c>
      <c r="M330" s="12" t="s">
        <v>68</v>
      </c>
      <c r="N330" s="182"/>
      <c r="O330" s="12" t="s">
        <v>2516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2872</v>
      </c>
      <c r="M331" s="12" t="s">
        <v>68</v>
      </c>
      <c r="N331" s="182"/>
      <c r="O331" s="12" t="s">
        <v>2516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111</v>
      </c>
      <c r="C332" s="12" t="s">
        <v>3896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2538</v>
      </c>
      <c r="M332" s="12" t="s">
        <v>68</v>
      </c>
      <c r="N332" s="182"/>
      <c r="O332" s="12" t="s">
        <v>2516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2699</v>
      </c>
      <c r="AB332" s="32" t="s">
        <v>992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2538</v>
      </c>
      <c r="M333" s="12" t="s">
        <v>68</v>
      </c>
      <c r="N333" s="182"/>
      <c r="O333" s="12" t="s">
        <v>2516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111</v>
      </c>
      <c r="C334" s="12" t="s">
        <v>3763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2538</v>
      </c>
      <c r="M334" s="12" t="s">
        <v>68</v>
      </c>
      <c r="N334" s="182"/>
      <c r="O334" s="12" t="s">
        <v>2516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2515</v>
      </c>
      <c r="M335" s="213" t="s">
        <v>68</v>
      </c>
      <c r="N335" s="182"/>
      <c r="O335" s="12" t="s">
        <v>2516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2538</v>
      </c>
      <c r="M336" s="213" t="s">
        <v>68</v>
      </c>
      <c r="N336" s="182"/>
      <c r="O336" s="12" t="s">
        <v>2516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3914</v>
      </c>
      <c r="H337" s="12" t="s">
        <v>156</v>
      </c>
      <c r="I337" s="12" t="s">
        <v>3914</v>
      </c>
      <c r="J337" s="34" t="s">
        <v>68</v>
      </c>
      <c r="K337" s="12">
        <v>14130773</v>
      </c>
      <c r="L337" s="13" t="s">
        <v>2773</v>
      </c>
      <c r="M337" s="236" t="s">
        <v>68</v>
      </c>
      <c r="N337" s="182"/>
      <c r="O337" s="12" t="s">
        <v>2516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3914</v>
      </c>
      <c r="H338" s="12" t="s">
        <v>156</v>
      </c>
      <c r="I338" s="12" t="s">
        <v>3914</v>
      </c>
      <c r="J338" s="34" t="s">
        <v>68</v>
      </c>
      <c r="K338" s="12">
        <v>14130773</v>
      </c>
      <c r="L338" s="13" t="s">
        <v>2773</v>
      </c>
      <c r="M338" s="236" t="s">
        <v>68</v>
      </c>
      <c r="N338" s="182"/>
      <c r="O338" s="12" t="s">
        <v>2516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3914</v>
      </c>
      <c r="H339" s="12" t="s">
        <v>156</v>
      </c>
      <c r="I339" s="12" t="s">
        <v>3914</v>
      </c>
      <c r="J339" s="34" t="s">
        <v>68</v>
      </c>
      <c r="K339" s="12">
        <v>14130773</v>
      </c>
      <c r="L339" s="13" t="s">
        <v>2773</v>
      </c>
      <c r="M339" s="236" t="s">
        <v>68</v>
      </c>
      <c r="N339" s="182"/>
      <c r="O339" s="12" t="s">
        <v>2516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296</v>
      </c>
      <c r="C340" s="12" t="s">
        <v>3928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2515</v>
      </c>
      <c r="M340" s="213" t="s">
        <v>68</v>
      </c>
      <c r="N340" s="182"/>
      <c r="O340" s="12" t="s">
        <v>2516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296</v>
      </c>
      <c r="C341" s="12" t="s">
        <v>3933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2515</v>
      </c>
      <c r="M341" s="213" t="s">
        <v>68</v>
      </c>
      <c r="N341" s="182"/>
      <c r="O341" s="12" t="s">
        <v>2516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296</v>
      </c>
      <c r="C342" s="12" t="s">
        <v>3928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2538</v>
      </c>
      <c r="M342" s="12" t="s">
        <v>68</v>
      </c>
      <c r="N342" s="182"/>
      <c r="O342" s="12" t="s">
        <v>2516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296</v>
      </c>
      <c r="C343" s="12" t="s">
        <v>3933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2538</v>
      </c>
      <c r="M343" s="12" t="s">
        <v>68</v>
      </c>
      <c r="N343" s="182"/>
      <c r="O343" s="12" t="s">
        <v>2516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296</v>
      </c>
      <c r="C344" s="12" t="s">
        <v>3928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2538</v>
      </c>
      <c r="M344" s="213" t="s">
        <v>68</v>
      </c>
      <c r="N344" s="182"/>
      <c r="O344" s="12" t="s">
        <v>2516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111</v>
      </c>
      <c r="C345" s="12" t="s">
        <v>3757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2515</v>
      </c>
      <c r="M345" s="213" t="s">
        <v>68</v>
      </c>
      <c r="N345" s="182"/>
      <c r="O345" s="12" t="s">
        <v>2516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2515</v>
      </c>
      <c r="M346" s="213" t="s">
        <v>68</v>
      </c>
      <c r="N346" s="182"/>
      <c r="O346" s="12" t="s">
        <v>2516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111</v>
      </c>
      <c r="C347" s="12" t="s">
        <v>3875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2515</v>
      </c>
      <c r="M347" s="213" t="s">
        <v>68</v>
      </c>
      <c r="N347" s="182"/>
      <c r="O347" s="12" t="s">
        <v>2516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2538</v>
      </c>
      <c r="M348" s="213" t="s">
        <v>68</v>
      </c>
      <c r="N348" s="182"/>
      <c r="O348" s="12" t="s">
        <v>2516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2515</v>
      </c>
      <c r="M349" s="213" t="s">
        <v>68</v>
      </c>
      <c r="N349" s="182"/>
      <c r="O349" s="12" t="s">
        <v>2516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111</v>
      </c>
      <c r="C350" s="41" t="s">
        <v>3964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3965</v>
      </c>
      <c r="J350" s="173" t="s">
        <v>68</v>
      </c>
      <c r="K350" s="12" t="s">
        <v>3966</v>
      </c>
      <c r="L350" s="13" t="s">
        <v>113</v>
      </c>
      <c r="M350" s="213" t="s">
        <v>68</v>
      </c>
      <c r="N350" s="182">
        <v>46045</v>
      </c>
      <c r="O350" s="12" t="s">
        <v>2516</v>
      </c>
      <c r="P350" s="41" t="s">
        <v>713</v>
      </c>
      <c r="Q350" s="41" t="s">
        <v>1185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111</v>
      </c>
      <c r="C351" s="41" t="s">
        <v>3964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3973</v>
      </c>
      <c r="J351" s="173" t="s">
        <v>68</v>
      </c>
      <c r="K351" s="12" t="s">
        <v>3974</v>
      </c>
      <c r="L351" s="13" t="s">
        <v>113</v>
      </c>
      <c r="M351" s="213" t="s">
        <v>68</v>
      </c>
      <c r="N351" s="182">
        <v>46045</v>
      </c>
      <c r="O351" s="12" t="s">
        <v>2516</v>
      </c>
      <c r="P351" s="41" t="s">
        <v>713</v>
      </c>
      <c r="Q351" s="41" t="s">
        <v>1185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111</v>
      </c>
      <c r="C352" s="41" t="s">
        <v>3875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2538</v>
      </c>
      <c r="M352" s="213" t="s">
        <v>68</v>
      </c>
      <c r="N352" s="182"/>
      <c r="O352" s="12" t="s">
        <v>2516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111</v>
      </c>
      <c r="C353" s="41" t="s">
        <v>3757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2538</v>
      </c>
      <c r="M353" s="213" t="s">
        <v>68</v>
      </c>
      <c r="N353" s="182"/>
      <c r="O353" s="12" t="s">
        <v>2516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111</v>
      </c>
      <c r="C354" s="12" t="s">
        <v>3985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2538</v>
      </c>
      <c r="M354" s="213" t="s">
        <v>68</v>
      </c>
      <c r="N354" s="182"/>
      <c r="O354" s="12" t="s">
        <v>2516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111</v>
      </c>
      <c r="C355" s="41" t="s">
        <v>3985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2538</v>
      </c>
      <c r="M355" s="213" t="s">
        <v>68</v>
      </c>
      <c r="N355" s="182"/>
      <c r="O355" s="12" t="s">
        <v>2516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111</v>
      </c>
      <c r="C356" s="41" t="s">
        <v>3992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2538</v>
      </c>
      <c r="M356" s="213" t="s">
        <v>68</v>
      </c>
      <c r="N356" s="182"/>
      <c r="O356" s="12" t="s">
        <v>2516</v>
      </c>
      <c r="P356" s="41" t="s">
        <v>132</v>
      </c>
      <c r="Q356" s="41" t="s">
        <v>3993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111</v>
      </c>
      <c r="C357" s="41" t="s">
        <v>3996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2538</v>
      </c>
      <c r="M357" s="213" t="s">
        <v>68</v>
      </c>
      <c r="N357" s="182"/>
      <c r="O357" s="12" t="s">
        <v>2516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2538</v>
      </c>
      <c r="M358" s="213" t="s">
        <v>68</v>
      </c>
      <c r="N358" s="182"/>
      <c r="O358" s="12" t="s">
        <v>2516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111</v>
      </c>
      <c r="C359" s="41" t="s">
        <v>3875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2538</v>
      </c>
      <c r="M359" s="213" t="s">
        <v>68</v>
      </c>
      <c r="N359" s="182"/>
      <c r="O359" s="12" t="s">
        <v>2516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2810</v>
      </c>
      <c r="M360" s="236" t="s">
        <v>68</v>
      </c>
      <c r="N360" s="182"/>
      <c r="O360" s="12" t="s">
        <v>2516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61</v>
      </c>
      <c r="C361" s="12" t="s">
        <v>3384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2810</v>
      </c>
      <c r="M361" s="236" t="s">
        <v>68</v>
      </c>
      <c r="N361" s="182"/>
      <c r="O361" s="12" t="s">
        <v>2516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61</v>
      </c>
      <c r="C362" s="12" t="s">
        <v>3800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2538</v>
      </c>
      <c r="M362" s="213" t="s">
        <v>68</v>
      </c>
      <c r="N362" s="182"/>
      <c r="O362" s="12" t="s">
        <v>2516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2516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111</v>
      </c>
      <c r="C364" s="12" t="s">
        <v>4021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2773</v>
      </c>
      <c r="M364" s="236" t="s">
        <v>68</v>
      </c>
      <c r="N364" s="182"/>
      <c r="O364" s="12" t="s">
        <v>2516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111</v>
      </c>
      <c r="C365" s="12" t="s">
        <v>4021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2773</v>
      </c>
      <c r="M365" s="236" t="s">
        <v>68</v>
      </c>
      <c r="N365" s="182"/>
      <c r="O365" s="12" t="s">
        <v>2516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111</v>
      </c>
      <c r="C366" s="12" t="s">
        <v>4021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2773</v>
      </c>
      <c r="M366" s="236" t="s">
        <v>68</v>
      </c>
      <c r="N366" s="182"/>
      <c r="O366" s="12" t="s">
        <v>2516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111</v>
      </c>
      <c r="C367" s="12" t="s">
        <v>4036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2773</v>
      </c>
      <c r="M367" s="236" t="s">
        <v>68</v>
      </c>
      <c r="N367" s="182"/>
      <c r="O367" s="12" t="s">
        <v>2516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111</v>
      </c>
      <c r="C368" s="12" t="s">
        <v>4036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2773</v>
      </c>
      <c r="M368" s="236" t="s">
        <v>68</v>
      </c>
      <c r="N368" s="182"/>
      <c r="O368" s="12" t="s">
        <v>2516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111</v>
      </c>
      <c r="C369" s="12" t="s">
        <v>4036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2773</v>
      </c>
      <c r="M369" s="236" t="s">
        <v>68</v>
      </c>
      <c r="N369" s="182"/>
      <c r="O369" s="12" t="s">
        <v>2516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111</v>
      </c>
      <c r="C370" s="12" t="s">
        <v>4021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2773</v>
      </c>
      <c r="M370" s="236" t="s">
        <v>68</v>
      </c>
      <c r="N370" s="182"/>
      <c r="O370" s="12" t="s">
        <v>2516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111</v>
      </c>
      <c r="C371" s="12" t="s">
        <v>4036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2773</v>
      </c>
      <c r="M371" s="236" t="s">
        <v>68</v>
      </c>
      <c r="N371" s="182"/>
      <c r="O371" s="12" t="s">
        <v>2516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111</v>
      </c>
      <c r="C372" s="12" t="s">
        <v>4036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2773</v>
      </c>
      <c r="M372" s="236" t="s">
        <v>68</v>
      </c>
      <c r="N372" s="182"/>
      <c r="O372" s="12" t="s">
        <v>2516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111</v>
      </c>
      <c r="C373" s="12" t="s">
        <v>4021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2773</v>
      </c>
      <c r="M373" s="236" t="s">
        <v>68</v>
      </c>
      <c r="N373" s="182"/>
      <c r="O373" s="12" t="s">
        <v>2516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2773</v>
      </c>
      <c r="M374" s="12" t="s">
        <v>68</v>
      </c>
      <c r="N374" s="182"/>
      <c r="O374" s="12" t="s">
        <v>2516</v>
      </c>
      <c r="P374" s="12" t="s">
        <v>284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2773</v>
      </c>
      <c r="M375" s="12" t="s">
        <v>68</v>
      </c>
      <c r="N375" s="182"/>
      <c r="O375" s="12" t="s">
        <v>2516</v>
      </c>
      <c r="P375" s="12" t="s">
        <v>284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2773</v>
      </c>
      <c r="M376" s="236" t="s">
        <v>68</v>
      </c>
      <c r="N376" s="182"/>
      <c r="O376" s="12" t="s">
        <v>2516</v>
      </c>
      <c r="P376" s="12" t="s">
        <v>284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2773</v>
      </c>
      <c r="M377" s="236" t="s">
        <v>68</v>
      </c>
      <c r="N377" s="182"/>
      <c r="O377" s="12" t="s">
        <v>2516</v>
      </c>
      <c r="P377" s="12" t="s">
        <v>284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2773</v>
      </c>
      <c r="M378" s="236" t="s">
        <v>68</v>
      </c>
      <c r="N378" s="182"/>
      <c r="O378" s="12" t="s">
        <v>2516</v>
      </c>
      <c r="P378" s="12" t="s">
        <v>284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2773</v>
      </c>
      <c r="M379" s="236" t="s">
        <v>68</v>
      </c>
      <c r="N379" s="182"/>
      <c r="O379" s="12" t="s">
        <v>2516</v>
      </c>
      <c r="P379" s="12" t="s">
        <v>284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2773</v>
      </c>
      <c r="M380" s="236" t="s">
        <v>68</v>
      </c>
      <c r="N380" s="182"/>
      <c r="O380" s="12" t="s">
        <v>2516</v>
      </c>
      <c r="P380" s="12" t="s">
        <v>284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2872</v>
      </c>
      <c r="M381" s="12" t="s">
        <v>68</v>
      </c>
      <c r="N381" s="182"/>
      <c r="O381" s="12" t="s">
        <v>2516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111</v>
      </c>
      <c r="C382" s="12" t="s">
        <v>4021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2773</v>
      </c>
      <c r="M382" s="236" t="s">
        <v>68</v>
      </c>
      <c r="N382" s="182"/>
      <c r="O382" s="12" t="s">
        <v>2516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2538</v>
      </c>
      <c r="M383" s="213" t="s">
        <v>68</v>
      </c>
      <c r="N383" s="182"/>
      <c r="O383" s="12" t="s">
        <v>2516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2538</v>
      </c>
      <c r="M384" s="213" t="s">
        <v>68</v>
      </c>
      <c r="N384" s="182"/>
      <c r="O384" s="12" t="s">
        <v>2516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2810</v>
      </c>
      <c r="M385" s="236" t="s">
        <v>68</v>
      </c>
      <c r="N385" s="182"/>
      <c r="O385" s="12" t="s">
        <v>2516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111</v>
      </c>
      <c r="C386" s="12" t="s">
        <v>3985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2872</v>
      </c>
      <c r="M386" s="213" t="s">
        <v>68</v>
      </c>
      <c r="N386" s="182"/>
      <c r="O386" s="12" t="s">
        <v>2516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111</v>
      </c>
      <c r="C387" s="12" t="s">
        <v>3773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2773</v>
      </c>
      <c r="M387" s="213" t="s">
        <v>68</v>
      </c>
      <c r="N387" s="182"/>
      <c r="O387" s="12" t="s">
        <v>2516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111</v>
      </c>
      <c r="C388" s="12" t="s">
        <v>3820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2773</v>
      </c>
      <c r="M388" s="213" t="s">
        <v>68</v>
      </c>
      <c r="N388" s="182"/>
      <c r="O388" s="12" t="s">
        <v>2516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2515</v>
      </c>
      <c r="M389" s="213" t="s">
        <v>68</v>
      </c>
      <c r="N389" s="182"/>
      <c r="O389" s="12" t="s">
        <v>2516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2515</v>
      </c>
      <c r="M390" s="213" t="s">
        <v>68</v>
      </c>
      <c r="N390" s="182"/>
      <c r="O390" s="12" t="s">
        <v>2516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2515</v>
      </c>
      <c r="M391" s="213" t="s">
        <v>68</v>
      </c>
      <c r="N391" s="182"/>
      <c r="O391" s="12" t="s">
        <v>2516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2515</v>
      </c>
      <c r="M392" s="213" t="s">
        <v>68</v>
      </c>
      <c r="N392" s="182"/>
      <c r="O392" s="12" t="s">
        <v>2516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2516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2515</v>
      </c>
      <c r="M394" s="213" t="s">
        <v>68</v>
      </c>
      <c r="N394" s="182"/>
      <c r="O394" s="12" t="s">
        <v>2516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111</v>
      </c>
      <c r="C395" s="12" t="s">
        <v>3757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2515</v>
      </c>
      <c r="M395" s="213" t="s">
        <v>68</v>
      </c>
      <c r="N395" s="182"/>
      <c r="O395" s="12" t="s">
        <v>2516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2515</v>
      </c>
      <c r="M396" s="213" t="s">
        <v>68</v>
      </c>
      <c r="N396" s="182"/>
      <c r="O396" s="12" t="s">
        <v>2516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111</v>
      </c>
      <c r="C397" s="12" t="s">
        <v>3757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2515</v>
      </c>
      <c r="M397" s="213" t="s">
        <v>68</v>
      </c>
      <c r="N397" s="182"/>
      <c r="O397" s="12" t="s">
        <v>2516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2515</v>
      </c>
      <c r="M398" s="213" t="s">
        <v>68</v>
      </c>
      <c r="N398" s="182"/>
      <c r="O398" s="12" t="s">
        <v>2516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111</v>
      </c>
      <c r="C399" s="12" t="s">
        <v>4175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2538</v>
      </c>
      <c r="M399" s="213" t="s">
        <v>68</v>
      </c>
      <c r="N399" s="182"/>
      <c r="O399" s="12" t="s">
        <v>2516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111</v>
      </c>
      <c r="C400" s="12" t="s">
        <v>3657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2538</v>
      </c>
      <c r="M400" s="213" t="s">
        <v>68</v>
      </c>
      <c r="N400" s="182"/>
      <c r="O400" s="12" t="s">
        <v>2516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2699</v>
      </c>
      <c r="AB400" s="32" t="s">
        <v>992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111</v>
      </c>
      <c r="C401" s="12" t="s">
        <v>3992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2538</v>
      </c>
      <c r="M401" s="213" t="s">
        <v>68</v>
      </c>
      <c r="N401" s="182"/>
      <c r="O401" s="12" t="s">
        <v>2516</v>
      </c>
      <c r="P401" s="12" t="s">
        <v>132</v>
      </c>
      <c r="Q401" s="12" t="s">
        <v>3993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111</v>
      </c>
      <c r="C402" s="12" t="s">
        <v>3992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2538</v>
      </c>
      <c r="M402" s="213" t="s">
        <v>68</v>
      </c>
      <c r="N402" s="182"/>
      <c r="O402" s="12" t="s">
        <v>2516</v>
      </c>
      <c r="P402" s="12" t="s">
        <v>132</v>
      </c>
      <c r="Q402" s="12" t="s">
        <v>3993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111</v>
      </c>
      <c r="C403" s="12" t="s">
        <v>3992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2538</v>
      </c>
      <c r="M403" s="213" t="s">
        <v>68</v>
      </c>
      <c r="N403" s="182"/>
      <c r="O403" s="12" t="s">
        <v>2516</v>
      </c>
      <c r="P403" s="12" t="s">
        <v>132</v>
      </c>
      <c r="Q403" s="12" t="s">
        <v>3993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2538</v>
      </c>
      <c r="M404" s="213" t="s">
        <v>68</v>
      </c>
      <c r="N404" s="182"/>
      <c r="O404" s="12" t="s">
        <v>2516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111</v>
      </c>
      <c r="C405" s="12" t="s">
        <v>3996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2538</v>
      </c>
      <c r="M405" s="213" t="s">
        <v>68</v>
      </c>
      <c r="N405" s="182"/>
      <c r="O405" s="12" t="s">
        <v>2516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111</v>
      </c>
      <c r="C406" s="12" t="s">
        <v>3780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2523</v>
      </c>
      <c r="M406" s="12" t="s">
        <v>68</v>
      </c>
      <c r="N406" s="182"/>
      <c r="O406" s="12" t="s">
        <v>2516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61</v>
      </c>
      <c r="C407" s="12" t="s">
        <v>3726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2515</v>
      </c>
      <c r="M407" s="213" t="s">
        <v>68</v>
      </c>
      <c r="N407" s="182"/>
      <c r="O407" s="12" t="s">
        <v>2516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2699</v>
      </c>
      <c r="AB407" s="13" t="s">
        <v>967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61</v>
      </c>
      <c r="C408" s="12" t="s">
        <v>3199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2515</v>
      </c>
      <c r="M408" s="213" t="s">
        <v>68</v>
      </c>
      <c r="N408" s="182"/>
      <c r="O408" s="12" t="s">
        <v>2516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2699</v>
      </c>
      <c r="AB408" s="13" t="s">
        <v>967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61</v>
      </c>
      <c r="C409" s="12" t="s">
        <v>3384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2760</v>
      </c>
      <c r="M409" s="236" t="s">
        <v>68</v>
      </c>
      <c r="N409" s="182"/>
      <c r="O409" s="12" t="s">
        <v>2516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2516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2515</v>
      </c>
      <c r="M411" s="213" t="s">
        <v>68</v>
      </c>
      <c r="N411" s="183"/>
      <c r="O411" s="12" t="s">
        <v>2516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111</v>
      </c>
      <c r="C412" s="12" t="s">
        <v>3996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2538</v>
      </c>
      <c r="M412" s="213" t="s">
        <v>68</v>
      </c>
      <c r="N412" s="182"/>
      <c r="O412" s="12" t="s">
        <v>2516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111</v>
      </c>
      <c r="C413" s="12" t="s">
        <v>3588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3577</v>
      </c>
      <c r="J413" s="34" t="s">
        <v>68</v>
      </c>
      <c r="K413" s="12">
        <v>16102578</v>
      </c>
      <c r="L413" s="13" t="s">
        <v>2523</v>
      </c>
      <c r="M413" s="213" t="s">
        <v>68</v>
      </c>
      <c r="N413" s="182"/>
      <c r="O413" s="12" t="s">
        <v>2516</v>
      </c>
      <c r="P413" s="12" t="s">
        <v>70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111</v>
      </c>
      <c r="C414" s="12" t="s">
        <v>3576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3577</v>
      </c>
      <c r="J414" s="34" t="s">
        <v>68</v>
      </c>
      <c r="K414" s="12">
        <v>16102578</v>
      </c>
      <c r="L414" s="13" t="s">
        <v>2523</v>
      </c>
      <c r="M414" s="213" t="s">
        <v>68</v>
      </c>
      <c r="N414" s="182"/>
      <c r="O414" s="12" t="s">
        <v>2516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111</v>
      </c>
      <c r="C415" s="12" t="s">
        <v>3582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3577</v>
      </c>
      <c r="J415" s="34" t="s">
        <v>68</v>
      </c>
      <c r="K415" s="12">
        <v>16102578</v>
      </c>
      <c r="L415" s="13" t="s">
        <v>2523</v>
      </c>
      <c r="M415" s="213" t="s">
        <v>68</v>
      </c>
      <c r="N415" s="182"/>
      <c r="O415" s="12" t="s">
        <v>2516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2523</v>
      </c>
      <c r="M416" s="213" t="s">
        <v>68</v>
      </c>
      <c r="N416" s="182"/>
      <c r="O416" s="12" t="s">
        <v>2516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3821</v>
      </c>
      <c r="AB416" s="13" t="s">
        <v>992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2523</v>
      </c>
      <c r="M417" s="213" t="s">
        <v>68</v>
      </c>
      <c r="N417" s="182"/>
      <c r="O417" s="12" t="s">
        <v>2516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3821</v>
      </c>
      <c r="AB417" s="13" t="s">
        <v>992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2523</v>
      </c>
      <c r="M418" s="213" t="s">
        <v>68</v>
      </c>
      <c r="N418" s="182"/>
      <c r="O418" s="12" t="s">
        <v>2516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2538</v>
      </c>
      <c r="M419" s="213" t="s">
        <v>68</v>
      </c>
      <c r="N419" s="182"/>
      <c r="O419" s="12" t="s">
        <v>2516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2538</v>
      </c>
      <c r="M420" s="213" t="s">
        <v>68</v>
      </c>
      <c r="N420" s="182"/>
      <c r="O420" s="12" t="s">
        <v>2516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2530</v>
      </c>
      <c r="M421" s="236" t="s">
        <v>68</v>
      </c>
      <c r="N421" s="182"/>
      <c r="O421" s="31" t="s">
        <v>2516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2515</v>
      </c>
      <c r="M422" s="213" t="s">
        <v>68</v>
      </c>
      <c r="N422" s="182"/>
      <c r="O422" s="12" t="s">
        <v>2516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4255</v>
      </c>
      <c r="AB422" s="32" t="s">
        <v>967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2515</v>
      </c>
      <c r="M423" s="213" t="s">
        <v>68</v>
      </c>
      <c r="N423" s="182"/>
      <c r="O423" s="12" t="s">
        <v>2516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2810</v>
      </c>
      <c r="M424" s="236" t="s">
        <v>68</v>
      </c>
      <c r="N424" s="182"/>
      <c r="O424" s="12" t="s">
        <v>2516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2712</v>
      </c>
      <c r="H425" s="12" t="s">
        <v>146</v>
      </c>
      <c r="I425" s="12" t="s">
        <v>2712</v>
      </c>
      <c r="J425" s="34" t="s">
        <v>68</v>
      </c>
      <c r="K425" s="12">
        <v>46010840</v>
      </c>
      <c r="L425" s="13" t="s">
        <v>2707</v>
      </c>
      <c r="M425" s="236" t="s">
        <v>68</v>
      </c>
      <c r="N425" s="182"/>
      <c r="O425" s="12" t="s">
        <v>2516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4255</v>
      </c>
      <c r="AB425" s="32" t="s">
        <v>967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2515</v>
      </c>
      <c r="M426" s="213" t="s">
        <v>68</v>
      </c>
      <c r="N426" s="182"/>
      <c r="O426" s="12" t="s">
        <v>2516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2515</v>
      </c>
      <c r="M427" s="213" t="s">
        <v>68</v>
      </c>
      <c r="N427" s="182"/>
      <c r="O427" s="12" t="s">
        <v>2516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2516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3821</v>
      </c>
      <c r="AB428" s="13" t="s">
        <v>992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4278</v>
      </c>
      <c r="AQ428" s="12" t="s">
        <v>161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2516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3821</v>
      </c>
      <c r="AB429" s="13" t="s">
        <v>992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4278</v>
      </c>
      <c r="AQ429" s="12" t="s">
        <v>161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111</v>
      </c>
      <c r="C430" s="12" t="s">
        <v>2924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2523</v>
      </c>
      <c r="M430" s="236" t="s">
        <v>68</v>
      </c>
      <c r="N430" s="182"/>
      <c r="O430" s="12" t="s">
        <v>2516</v>
      </c>
      <c r="P430" s="12" t="s">
        <v>132</v>
      </c>
      <c r="Q430" s="12" t="s">
        <v>2925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4288</v>
      </c>
      <c r="H431" s="41" t="s">
        <v>146</v>
      </c>
      <c r="I431" s="41" t="s">
        <v>4288</v>
      </c>
      <c r="J431" s="34" t="s">
        <v>68</v>
      </c>
      <c r="K431" s="41">
        <v>16102620</v>
      </c>
      <c r="L431" s="13" t="s">
        <v>2523</v>
      </c>
      <c r="M431" s="237" t="s">
        <v>68</v>
      </c>
      <c r="N431" s="184"/>
      <c r="O431" s="41" t="s">
        <v>2516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111</v>
      </c>
      <c r="C432" s="41" t="s">
        <v>3780</v>
      </c>
      <c r="D432" s="41" t="s">
        <v>63</v>
      </c>
      <c r="E432" s="12" t="s">
        <v>144</v>
      </c>
      <c r="F432" s="41" t="s">
        <v>145</v>
      </c>
      <c r="G432" s="41" t="s">
        <v>4288</v>
      </c>
      <c r="H432" s="41" t="s">
        <v>146</v>
      </c>
      <c r="I432" s="41" t="s">
        <v>4288</v>
      </c>
      <c r="J432" s="34" t="s">
        <v>68</v>
      </c>
      <c r="K432" s="41">
        <v>16102620</v>
      </c>
      <c r="L432" s="13" t="s">
        <v>2523</v>
      </c>
      <c r="M432" s="237" t="s">
        <v>68</v>
      </c>
      <c r="N432" s="184"/>
      <c r="O432" s="41" t="s">
        <v>2516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2872</v>
      </c>
      <c r="M433" s="213" t="s">
        <v>68</v>
      </c>
      <c r="N433" s="182"/>
      <c r="O433" s="12" t="s">
        <v>2516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4295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4097</v>
      </c>
      <c r="AQ433" s="12" t="s">
        <v>80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111</v>
      </c>
      <c r="C434" s="12" t="s">
        <v>3985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2872</v>
      </c>
      <c r="M434" s="213" t="s">
        <v>68</v>
      </c>
      <c r="N434" s="182"/>
      <c r="O434" s="12" t="s">
        <v>2516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4299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4097</v>
      </c>
      <c r="AQ434" s="12" t="s">
        <v>80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2515</v>
      </c>
      <c r="M435" s="213" t="s">
        <v>68</v>
      </c>
      <c r="N435" s="182"/>
      <c r="O435" s="12" t="s">
        <v>2516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4301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2515</v>
      </c>
      <c r="M436" s="213" t="s">
        <v>68</v>
      </c>
      <c r="N436" s="182"/>
      <c r="O436" s="12" t="s">
        <v>2516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4306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2515</v>
      </c>
      <c r="M437" s="213" t="s">
        <v>68</v>
      </c>
      <c r="N437" s="182"/>
      <c r="O437" s="12" t="s">
        <v>2516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4310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2523</v>
      </c>
      <c r="M438" s="213" t="s">
        <v>68</v>
      </c>
      <c r="N438" s="182"/>
      <c r="O438" s="12" t="s">
        <v>2516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3821</v>
      </c>
      <c r="AB438" s="13" t="s">
        <v>992</v>
      </c>
      <c r="AC438" s="14">
        <v>46009</v>
      </c>
      <c r="AD438" s="15">
        <v>51</v>
      </c>
      <c r="AE438" s="55" t="s">
        <v>4312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111</v>
      </c>
      <c r="C439" s="12" t="s">
        <v>4175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2872</v>
      </c>
      <c r="M439" s="213" t="s">
        <v>68</v>
      </c>
      <c r="N439" s="182"/>
      <c r="O439" s="12" t="s">
        <v>2516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4317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2872</v>
      </c>
      <c r="M440" s="213" t="s">
        <v>68</v>
      </c>
      <c r="N440" s="182"/>
      <c r="O440" s="12" t="s">
        <v>2516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4322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111</v>
      </c>
      <c r="C441" s="12" t="s">
        <v>3875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2515</v>
      </c>
      <c r="M441" s="213" t="s">
        <v>68</v>
      </c>
      <c r="N441" s="182"/>
      <c r="O441" s="12" t="s">
        <v>2516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4324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2707</v>
      </c>
      <c r="M442" s="236" t="s">
        <v>68</v>
      </c>
      <c r="N442" s="182"/>
      <c r="O442" s="12" t="s">
        <v>2516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4255</v>
      </c>
      <c r="AB442" s="32" t="s">
        <v>967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2707</v>
      </c>
      <c r="M443" s="236" t="s">
        <v>68</v>
      </c>
      <c r="N443" s="182"/>
      <c r="O443" s="12" t="s">
        <v>2516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2515</v>
      </c>
      <c r="M444" s="213" t="s">
        <v>68</v>
      </c>
      <c r="N444" s="182"/>
      <c r="O444" s="12" t="s">
        <v>2516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4255</v>
      </c>
      <c r="AB444" s="32" t="s">
        <v>967</v>
      </c>
      <c r="AC444" s="14">
        <v>46010</v>
      </c>
      <c r="AD444" s="15">
        <v>51</v>
      </c>
      <c r="AE444" s="55" t="s">
        <v>4334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2515</v>
      </c>
      <c r="M445" s="213" t="s">
        <v>68</v>
      </c>
      <c r="N445" s="182"/>
      <c r="O445" s="12" t="s">
        <v>2516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4255</v>
      </c>
      <c r="AB445" s="32" t="s">
        <v>967</v>
      </c>
      <c r="AC445" s="14">
        <v>46010</v>
      </c>
      <c r="AD445" s="15">
        <v>51</v>
      </c>
      <c r="AE445" s="177" t="s">
        <v>4339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2515</v>
      </c>
      <c r="M446" s="213" t="s">
        <v>68</v>
      </c>
      <c r="N446" s="182"/>
      <c r="O446" s="12" t="s">
        <v>2516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4341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2515</v>
      </c>
      <c r="M447" s="213" t="s">
        <v>68</v>
      </c>
      <c r="N447" s="182"/>
      <c r="O447" s="12" t="s">
        <v>2516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4343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2515</v>
      </c>
      <c r="M448" s="213" t="s">
        <v>68</v>
      </c>
      <c r="N448" s="182"/>
      <c r="O448" s="12" t="s">
        <v>2516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4345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4325</v>
      </c>
      <c r="AQ448" s="12" t="s">
        <v>161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4347</v>
      </c>
      <c r="H449" s="12" t="s">
        <v>402</v>
      </c>
      <c r="I449" s="12" t="s">
        <v>4347</v>
      </c>
      <c r="J449" s="34" t="s">
        <v>68</v>
      </c>
      <c r="K449" s="12">
        <v>46011058</v>
      </c>
      <c r="L449" s="13" t="s">
        <v>2530</v>
      </c>
      <c r="M449" s="236" t="s">
        <v>68</v>
      </c>
      <c r="N449" s="182"/>
      <c r="O449" s="12" t="s">
        <v>2516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4104</v>
      </c>
      <c r="AQ449" s="12" t="s">
        <v>161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2773</v>
      </c>
      <c r="M450" s="213" t="s">
        <v>68</v>
      </c>
      <c r="N450" s="182"/>
      <c r="O450" s="12" t="s">
        <v>2516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4353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4354</v>
      </c>
      <c r="AQ450" s="12" t="s">
        <v>161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111</v>
      </c>
      <c r="C451" s="12" t="s">
        <v>3875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2515</v>
      </c>
      <c r="M451" s="213" t="s">
        <v>68</v>
      </c>
      <c r="N451" s="182"/>
      <c r="O451" s="12" t="s">
        <v>2516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4358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4354</v>
      </c>
      <c r="AQ451" s="12" t="s">
        <v>161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2515</v>
      </c>
      <c r="M452" s="213" t="s">
        <v>68</v>
      </c>
      <c r="N452" s="182"/>
      <c r="O452" s="12" t="s">
        <v>2516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4360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4354</v>
      </c>
      <c r="AQ452" s="12" t="s">
        <v>161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2515</v>
      </c>
      <c r="M453" s="213" t="s">
        <v>68</v>
      </c>
      <c r="N453" s="182"/>
      <c r="O453" s="12" t="s">
        <v>2516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4362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4363</v>
      </c>
      <c r="AQ453" s="12" t="s">
        <v>80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2515</v>
      </c>
      <c r="M454" s="213" t="s">
        <v>68</v>
      </c>
      <c r="N454" s="182"/>
      <c r="O454" s="12" t="s">
        <v>2516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4367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4363</v>
      </c>
      <c r="AQ454" s="12" t="s">
        <v>80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2538</v>
      </c>
      <c r="M455" s="213" t="s">
        <v>68</v>
      </c>
      <c r="N455" s="182"/>
      <c r="O455" s="12" t="s">
        <v>2516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4371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4222</v>
      </c>
      <c r="AQ455" s="12" t="s">
        <v>80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2538</v>
      </c>
      <c r="M456" s="213" t="s">
        <v>68</v>
      </c>
      <c r="N456" s="182"/>
      <c r="O456" s="12" t="s">
        <v>2516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4375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2760</v>
      </c>
      <c r="M457" s="236" t="s">
        <v>68</v>
      </c>
      <c r="N457" s="182"/>
      <c r="O457" s="12" t="s">
        <v>2516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61</v>
      </c>
      <c r="C458" s="12" t="s">
        <v>3384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2523</v>
      </c>
      <c r="M458" s="236" t="s">
        <v>68</v>
      </c>
      <c r="N458" s="182"/>
      <c r="O458" s="12" t="s">
        <v>2516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4383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61</v>
      </c>
      <c r="C459" s="12" t="s">
        <v>3384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2523</v>
      </c>
      <c r="M459" s="236" t="s">
        <v>68</v>
      </c>
      <c r="N459" s="182"/>
      <c r="O459" s="12" t="s">
        <v>2516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4387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2523</v>
      </c>
      <c r="M460" s="236" t="s">
        <v>68</v>
      </c>
      <c r="N460" s="182"/>
      <c r="O460" s="12" t="s">
        <v>2516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4390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2515</v>
      </c>
      <c r="M461" s="213" t="s">
        <v>68</v>
      </c>
      <c r="N461" s="182"/>
      <c r="O461" s="12" t="s">
        <v>2516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4392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4393</v>
      </c>
      <c r="AQ461" s="12" t="s">
        <v>80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2515</v>
      </c>
      <c r="M462" s="213" t="s">
        <v>68</v>
      </c>
      <c r="N462" s="182"/>
      <c r="O462" s="12" t="s">
        <v>2516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4397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4393</v>
      </c>
      <c r="AQ462" s="12" t="s">
        <v>80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2516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3821</v>
      </c>
      <c r="AB463" s="13" t="s">
        <v>992</v>
      </c>
      <c r="AC463" s="30">
        <v>46021</v>
      </c>
      <c r="AD463" s="35">
        <v>1</v>
      </c>
      <c r="AE463" s="55" t="s">
        <v>4399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4400</v>
      </c>
      <c r="AQ463" s="12" t="s">
        <v>161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63" priority="7"/>
  </conditionalFormatting>
  <conditionalFormatting sqref="M2:M336 M340:M359 M362:M363 M374:M375 M381 M383:M384 M386:M408 M410:M420 M422:M423 M426:M429 M433:M441 M444:M448 M450:M456 M461:M463">
    <cfRule type="cellIs" dxfId="62" priority="5" operator="equal">
      <formula>"Yes"</formula>
    </cfRule>
    <cfRule type="cellIs" dxfId="6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68"/>
  <sheetViews>
    <sheetView zoomScaleNormal="100" workbookViewId="0">
      <pane ySplit="1" topLeftCell="A945" activePane="bottomLeft" state="frozen"/>
      <selection pane="bottomLeft" activeCell="H1243" sqref="H1243"/>
    </sheetView>
  </sheetViews>
  <sheetFormatPr defaultColWidth="9.09765625" defaultRowHeight="13" outlineLevelRow="1" outlineLevelCol="1"/>
  <cols>
    <col min="1" max="1" width="9.09765625" style="463" customWidth="1"/>
    <col min="2" max="2" width="9.09765625" style="936" customWidth="1"/>
    <col min="3" max="6" width="14.296875" style="463" customWidth="1"/>
    <col min="7" max="9" width="14.296875" style="936" customWidth="1"/>
    <col min="10" max="14" width="14.296875" style="441" customWidth="1"/>
    <col min="15" max="15" width="9.09765625" style="431" customWidth="1"/>
    <col min="16" max="17" width="9.09765625" style="441" customWidth="1"/>
    <col min="18" max="19" width="9.09765625" style="431" customWidth="1"/>
    <col min="20" max="20" width="9.09765625" style="441" customWidth="1"/>
    <col min="21" max="21" width="9.09765625" style="1130" customWidth="1"/>
    <col min="22" max="23" width="9.09765625" style="1007" customWidth="1"/>
    <col min="24" max="24" width="9.09765625" style="1130" customWidth="1"/>
    <col min="25" max="26" width="9.09765625" style="488" customWidth="1"/>
    <col min="27" max="27" width="9.09765625" style="441" customWidth="1"/>
    <col min="28" max="28" width="9.09765625" style="489" customWidth="1"/>
    <col min="29" max="30" width="9.09765625" style="431" customWidth="1"/>
    <col min="31" max="31" width="9.09765625" style="434" customWidth="1" outlineLevel="1"/>
    <col min="32" max="33" width="9.09765625" style="431" customWidth="1"/>
    <col min="34" max="34" width="9.09765625" style="436" customWidth="1"/>
    <col min="35" max="35" width="9.09765625" style="715" customWidth="1"/>
    <col min="36" max="36" width="9.09765625" style="438" customWidth="1"/>
    <col min="37" max="37" width="9.09765625" style="591" customWidth="1"/>
    <col min="38" max="39" width="9.09765625" style="438" customWidth="1"/>
    <col min="40" max="40" width="9.09765625" style="442" customWidth="1"/>
    <col min="41" max="42" width="9.09765625" style="431" customWidth="1"/>
    <col min="43" max="43" width="9.09765625" style="439" customWidth="1"/>
    <col min="44" max="45" width="9.09765625" style="441" customWidth="1"/>
    <col min="46" max="48" width="9.09765625" style="431" customWidth="1"/>
    <col min="49" max="51" width="9.09765625" style="438" customWidth="1"/>
    <col min="52" max="52" width="9.09765625" style="431" customWidth="1"/>
    <col min="53" max="53" width="9.09765625" style="438" customWidth="1"/>
    <col min="54" max="58" width="9.09765625" style="431" customWidth="1"/>
    <col min="59" max="60" width="9.09765625" customWidth="1"/>
    <col min="61" max="61" width="9.09765625" style="431" customWidth="1"/>
    <col min="62" max="62" width="9.09765625" style="441" customWidth="1"/>
    <col min="63" max="63" width="9.09765625" style="431" customWidth="1"/>
    <col min="64" max="16384" width="9.09765625" style="431"/>
  </cols>
  <sheetData>
    <row r="1" spans="1:91" s="430" customFormat="1" ht="42" customHeight="1" outlineLevel="1">
      <c r="A1" s="951" t="s">
        <v>0</v>
      </c>
      <c r="B1" s="951" t="s">
        <v>1</v>
      </c>
      <c r="C1" s="1196" t="s">
        <v>2</v>
      </c>
      <c r="D1" s="1197" t="s">
        <v>3</v>
      </c>
      <c r="E1" s="1198" t="s">
        <v>4</v>
      </c>
      <c r="F1" s="1198" t="s">
        <v>5</v>
      </c>
      <c r="G1" s="1198" t="s">
        <v>6</v>
      </c>
      <c r="H1" s="1198" t="s">
        <v>7</v>
      </c>
      <c r="I1" s="1198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206" t="s">
        <v>20</v>
      </c>
      <c r="V1" s="1005" t="s">
        <v>21</v>
      </c>
      <c r="W1" s="1006" t="s">
        <v>22</v>
      </c>
      <c r="X1" s="112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0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207">
        <v>2592</v>
      </c>
      <c r="V2" s="435">
        <v>1.296</v>
      </c>
      <c r="W2" s="436">
        <v>72</v>
      </c>
      <c r="X2" s="1110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207">
        <v>936</v>
      </c>
      <c r="V3" s="435">
        <v>0.42099999999999999</v>
      </c>
      <c r="W3" s="436">
        <v>26</v>
      </c>
      <c r="X3" s="1110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207">
        <v>2808</v>
      </c>
      <c r="V4" s="435">
        <v>1.264</v>
      </c>
      <c r="W4" s="436">
        <v>78</v>
      </c>
      <c r="X4" s="1110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207">
        <v>4320</v>
      </c>
      <c r="V5" s="435">
        <v>2.6779999999999999</v>
      </c>
      <c r="W5" s="436">
        <v>120</v>
      </c>
      <c r="X5" s="1110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207">
        <v>2304</v>
      </c>
      <c r="V6" s="435">
        <v>1.4750000000000001</v>
      </c>
      <c r="W6" s="436">
        <v>64</v>
      </c>
      <c r="X6" s="1110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207">
        <v>1782</v>
      </c>
      <c r="V7" s="435">
        <v>1.2829999999999999</v>
      </c>
      <c r="W7" s="436">
        <v>54</v>
      </c>
      <c r="X7" s="1110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207">
        <v>1782</v>
      </c>
      <c r="V8" s="435">
        <v>1.2829999999999999</v>
      </c>
      <c r="W8" s="436">
        <v>54</v>
      </c>
      <c r="X8" s="1110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207">
        <v>936</v>
      </c>
      <c r="V9" s="435">
        <v>0.42099999999999999</v>
      </c>
      <c r="W9" s="436">
        <v>26</v>
      </c>
      <c r="X9" s="1110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207">
        <v>936</v>
      </c>
      <c r="V10" s="435">
        <v>0.42099999999999999</v>
      </c>
      <c r="W10" s="436">
        <v>26</v>
      </c>
      <c r="X10" s="1110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207">
        <v>2592</v>
      </c>
      <c r="V11" s="435">
        <v>1.296</v>
      </c>
      <c r="W11" s="436">
        <v>72</v>
      </c>
      <c r="X11" s="1110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207">
        <v>4320</v>
      </c>
      <c r="V12" s="435">
        <v>2.6779999999999999</v>
      </c>
      <c r="W12" s="436">
        <v>120</v>
      </c>
      <c r="X12" s="1110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207">
        <v>1320</v>
      </c>
      <c r="V13" s="435">
        <v>0.73299999999999998</v>
      </c>
      <c r="W13" s="436">
        <v>40</v>
      </c>
      <c r="X13" s="1110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207">
        <v>1152</v>
      </c>
      <c r="V14" s="435">
        <v>0.73699999999999999</v>
      </c>
      <c r="W14" s="436">
        <v>32</v>
      </c>
      <c r="X14" s="1110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207">
        <v>4752</v>
      </c>
      <c r="V15" s="435">
        <v>3.4209999999999998</v>
      </c>
      <c r="W15" s="436">
        <v>144</v>
      </c>
      <c r="X15" s="1110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207">
        <v>4320</v>
      </c>
      <c r="V16" s="435">
        <v>2.0089999999999999</v>
      </c>
      <c r="W16" s="436">
        <v>120</v>
      </c>
      <c r="X16" s="1110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207">
        <v>1872</v>
      </c>
      <c r="V17" s="435">
        <v>0.84199999999999997</v>
      </c>
      <c r="W17" s="436">
        <v>52</v>
      </c>
      <c r="X17" s="1110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207">
        <v>5616</v>
      </c>
      <c r="V18" s="435">
        <v>2.5550000000000002</v>
      </c>
      <c r="W18" s="436">
        <v>156</v>
      </c>
      <c r="X18" s="1110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207">
        <v>660</v>
      </c>
      <c r="V19" s="435">
        <v>0.36599999999999999</v>
      </c>
      <c r="W19" s="436">
        <v>20</v>
      </c>
      <c r="X19" s="1110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207">
        <v>2880</v>
      </c>
      <c r="V20" s="435">
        <v>1.8</v>
      </c>
      <c r="W20" s="436">
        <v>80</v>
      </c>
      <c r="X20" s="1110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207">
        <v>5040</v>
      </c>
      <c r="V21" s="435">
        <v>3.15</v>
      </c>
      <c r="W21" s="436">
        <v>140</v>
      </c>
      <c r="X21" s="1110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207">
        <v>1320</v>
      </c>
      <c r="V22" s="435">
        <v>0.73299999999999998</v>
      </c>
      <c r="W22" s="436">
        <v>40</v>
      </c>
      <c r="X22" s="1110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207">
        <v>1320</v>
      </c>
      <c r="V23" s="435">
        <v>0.73299999999999998</v>
      </c>
      <c r="W23" s="436">
        <v>40</v>
      </c>
      <c r="X23" s="1110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207">
        <v>1152</v>
      </c>
      <c r="V24" s="435">
        <v>0.73699999999999999</v>
      </c>
      <c r="W24" s="436">
        <v>32</v>
      </c>
      <c r="X24" s="1110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207">
        <v>967</v>
      </c>
      <c r="V25" s="435">
        <v>0.61899999999999999</v>
      </c>
      <c r="W25" s="436">
        <v>26.9</v>
      </c>
      <c r="X25" s="1110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207">
        <v>761</v>
      </c>
      <c r="V26" s="435">
        <v>0.48699999999999999</v>
      </c>
      <c r="W26" s="436">
        <v>21.1</v>
      </c>
      <c r="X26" s="1110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207">
        <v>1728</v>
      </c>
      <c r="V27" s="435">
        <v>1.1060000000000001</v>
      </c>
      <c r="W27" s="436">
        <v>48</v>
      </c>
      <c r="X27" s="1110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207">
        <v>1728</v>
      </c>
      <c r="V28" s="435">
        <v>0.80400000000000005</v>
      </c>
      <c r="W28" s="436">
        <v>48</v>
      </c>
      <c r="X28" s="1110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207">
        <v>864</v>
      </c>
      <c r="V29" s="435">
        <v>0.40200000000000002</v>
      </c>
      <c r="W29" s="436">
        <v>24</v>
      </c>
      <c r="X29" s="1110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207">
        <v>660</v>
      </c>
      <c r="V30" s="435">
        <v>0.36599999999999999</v>
      </c>
      <c r="W30" s="436">
        <v>20</v>
      </c>
      <c r="X30" s="1110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207">
        <v>1320</v>
      </c>
      <c r="V31" s="435">
        <v>0.73299999999999998</v>
      </c>
      <c r="W31" s="436">
        <v>40</v>
      </c>
      <c r="X31" s="1110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207">
        <v>1152</v>
      </c>
      <c r="V32" s="435">
        <v>0.73699999999999999</v>
      </c>
      <c r="W32" s="436">
        <v>32</v>
      </c>
      <c r="X32" s="1110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207">
        <v>2124</v>
      </c>
      <c r="V33" s="435">
        <v>1.359</v>
      </c>
      <c r="W33" s="436">
        <v>59</v>
      </c>
      <c r="X33" s="1110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207">
        <v>180</v>
      </c>
      <c r="V34" s="435">
        <v>0.115</v>
      </c>
      <c r="W34" s="436">
        <v>5</v>
      </c>
      <c r="X34" s="1110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207">
        <v>1152</v>
      </c>
      <c r="V35" s="435">
        <v>0.73699999999999999</v>
      </c>
      <c r="W35" s="436">
        <v>32</v>
      </c>
      <c r="X35" s="1110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207">
        <v>962</v>
      </c>
      <c r="V36" s="435">
        <v>0.443</v>
      </c>
      <c r="W36" s="436">
        <v>26</v>
      </c>
      <c r="X36" s="1110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207">
        <v>4810</v>
      </c>
      <c r="V37" s="435">
        <v>2.2130000000000001</v>
      </c>
      <c r="W37" s="436">
        <v>130</v>
      </c>
      <c r="X37" s="1110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207">
        <v>1924</v>
      </c>
      <c r="V38" s="435">
        <v>0.92400000000000004</v>
      </c>
      <c r="W38" s="436">
        <v>52</v>
      </c>
      <c r="X38" s="1110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207">
        <v>2886</v>
      </c>
      <c r="V39" s="435">
        <v>1.4</v>
      </c>
      <c r="W39" s="436">
        <v>78</v>
      </c>
      <c r="X39" s="1110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207">
        <v>1924</v>
      </c>
      <c r="V40" s="435">
        <v>0.92400000000000004</v>
      </c>
      <c r="W40" s="436">
        <v>52</v>
      </c>
      <c r="X40" s="1110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207">
        <v>1924</v>
      </c>
      <c r="V41" s="435">
        <v>0.93300000000000005</v>
      </c>
      <c r="W41" s="436">
        <v>52</v>
      </c>
      <c r="X41" s="1110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207">
        <v>962</v>
      </c>
      <c r="V42" s="435">
        <v>0.46700000000000003</v>
      </c>
      <c r="W42" s="436">
        <v>26</v>
      </c>
      <c r="X42" s="1110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207">
        <v>962</v>
      </c>
      <c r="V43" s="435">
        <v>0.46200000000000002</v>
      </c>
      <c r="W43" s="436">
        <v>26</v>
      </c>
      <c r="X43" s="1110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207">
        <v>7200</v>
      </c>
      <c r="V44" s="435">
        <v>4.5</v>
      </c>
      <c r="W44" s="436">
        <v>200</v>
      </c>
      <c r="X44" s="1110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207">
        <v>936</v>
      </c>
      <c r="V45" s="435">
        <v>0.42099999999999999</v>
      </c>
      <c r="W45" s="436">
        <v>26</v>
      </c>
      <c r="X45" s="1110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207">
        <v>7200</v>
      </c>
      <c r="V46" s="435">
        <v>4.5</v>
      </c>
      <c r="W46" s="436">
        <v>200</v>
      </c>
      <c r="X46" s="1110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207">
        <v>864</v>
      </c>
      <c r="V47" s="435">
        <v>0.432</v>
      </c>
      <c r="W47" s="436">
        <v>24</v>
      </c>
      <c r="X47" s="1110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207">
        <v>2880</v>
      </c>
      <c r="V48" s="435">
        <v>1.8</v>
      </c>
      <c r="W48" s="436">
        <v>80</v>
      </c>
      <c r="X48" s="1110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207">
        <v>1440</v>
      </c>
      <c r="V49" s="435">
        <v>0.9</v>
      </c>
      <c r="W49" s="436">
        <v>40</v>
      </c>
      <c r="X49" s="1110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207">
        <v>2880</v>
      </c>
      <c r="V50" s="435">
        <v>1.8</v>
      </c>
      <c r="W50" s="436">
        <v>80</v>
      </c>
      <c r="X50" s="1110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207">
        <v>1440</v>
      </c>
      <c r="V51" s="435">
        <v>0.9</v>
      </c>
      <c r="W51" s="436">
        <v>40</v>
      </c>
      <c r="X51" s="1110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207">
        <v>72</v>
      </c>
      <c r="V52" s="435">
        <v>4.4999999999999998E-2</v>
      </c>
      <c r="W52" s="436">
        <v>2</v>
      </c>
      <c r="X52" s="1110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207">
        <v>324</v>
      </c>
      <c r="V53" s="435">
        <v>0.20300000000000001</v>
      </c>
      <c r="W53" s="436">
        <v>9</v>
      </c>
      <c r="X53" s="1110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207">
        <v>324</v>
      </c>
      <c r="V54" s="435">
        <v>0.20100000000000001</v>
      </c>
      <c r="W54" s="436">
        <v>9</v>
      </c>
      <c r="X54" s="1110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207">
        <v>1728</v>
      </c>
      <c r="V55" s="435">
        <v>0.80400000000000005</v>
      </c>
      <c r="W55" s="436">
        <v>48</v>
      </c>
      <c r="X55" s="1110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207">
        <v>2592</v>
      </c>
      <c r="V56" s="435">
        <v>1.2050000000000001</v>
      </c>
      <c r="W56" s="436">
        <v>72</v>
      </c>
      <c r="X56" s="1110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207">
        <v>1728</v>
      </c>
      <c r="V57" s="435">
        <v>0.80400000000000005</v>
      </c>
      <c r="W57" s="436">
        <v>48</v>
      </c>
      <c r="X57" s="1110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207">
        <v>1728</v>
      </c>
      <c r="V58" s="435">
        <v>0.80400000000000005</v>
      </c>
      <c r="W58" s="436">
        <v>48</v>
      </c>
      <c r="X58" s="1110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207">
        <v>1152</v>
      </c>
      <c r="V59" s="435">
        <v>0.73699999999999999</v>
      </c>
      <c r="W59" s="436">
        <v>32</v>
      </c>
      <c r="X59" s="1110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207">
        <v>2376</v>
      </c>
      <c r="V60" s="435">
        <v>1.212</v>
      </c>
      <c r="W60" s="436">
        <v>66</v>
      </c>
      <c r="X60" s="1110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207">
        <v>660</v>
      </c>
      <c r="V61" s="435">
        <v>0.36599999999999999</v>
      </c>
      <c r="W61" s="436">
        <v>20</v>
      </c>
      <c r="X61" s="1110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207">
        <v>1320</v>
      </c>
      <c r="V62" s="435">
        <v>0.73299999999999998</v>
      </c>
      <c r="W62" s="436">
        <v>40</v>
      </c>
      <c r="X62" s="1110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207">
        <v>1728</v>
      </c>
      <c r="V63" s="435">
        <v>0.873</v>
      </c>
      <c r="W63" s="436">
        <v>48</v>
      </c>
      <c r="X63" s="1110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207">
        <v>7200</v>
      </c>
      <c r="V64" s="435">
        <v>4.5</v>
      </c>
      <c r="W64" s="436">
        <v>200</v>
      </c>
      <c r="X64" s="1110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207">
        <v>2880</v>
      </c>
      <c r="V65" s="435">
        <v>1.8</v>
      </c>
      <c r="W65" s="436">
        <v>80</v>
      </c>
      <c r="X65" s="1110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207">
        <v>1440</v>
      </c>
      <c r="V66" s="435">
        <v>0.9</v>
      </c>
      <c r="W66" s="436">
        <v>40</v>
      </c>
      <c r="X66" s="1110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207">
        <v>2592</v>
      </c>
      <c r="V67" s="435">
        <v>1.62</v>
      </c>
      <c r="W67" s="436">
        <v>72</v>
      </c>
      <c r="X67" s="1110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207">
        <v>72</v>
      </c>
      <c r="V68" s="435">
        <v>4.4999999999999998E-2</v>
      </c>
      <c r="W68" s="436">
        <v>2</v>
      </c>
      <c r="X68" s="1110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207">
        <v>216</v>
      </c>
      <c r="V69" s="435">
        <v>0.13400000000000001</v>
      </c>
      <c r="W69" s="436">
        <v>6</v>
      </c>
      <c r="X69" s="1110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207">
        <v>720</v>
      </c>
      <c r="V70" s="435">
        <v>0.45</v>
      </c>
      <c r="W70" s="436">
        <v>20</v>
      </c>
      <c r="X70" s="1110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207">
        <v>1728</v>
      </c>
      <c r="V71" s="435">
        <v>0.79500000000000004</v>
      </c>
      <c r="W71" s="436">
        <v>48</v>
      </c>
      <c r="X71" s="1110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207">
        <v>660</v>
      </c>
      <c r="V72" s="435">
        <v>0.36299999999999999</v>
      </c>
      <c r="W72" s="436">
        <v>20</v>
      </c>
      <c r="X72" s="1110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207">
        <v>1320</v>
      </c>
      <c r="V73" s="435">
        <v>0.72599999999999998</v>
      </c>
      <c r="W73" s="436">
        <v>40</v>
      </c>
      <c r="X73" s="1110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207">
        <v>2592</v>
      </c>
      <c r="V74" s="435">
        <v>1.1919999999999999</v>
      </c>
      <c r="W74" s="436">
        <v>72</v>
      </c>
      <c r="X74" s="1110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207">
        <v>660</v>
      </c>
      <c r="V75" s="435">
        <v>0.36299999999999999</v>
      </c>
      <c r="W75" s="436">
        <v>20</v>
      </c>
      <c r="X75" s="1110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207">
        <v>864</v>
      </c>
      <c r="V76" s="435">
        <v>0.40200000000000002</v>
      </c>
      <c r="W76" s="436">
        <v>24</v>
      </c>
      <c r="X76" s="1110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207">
        <v>1728</v>
      </c>
      <c r="V77" s="435">
        <v>0.80400000000000005</v>
      </c>
      <c r="W77" s="436">
        <v>48</v>
      </c>
      <c r="X77" s="1110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207">
        <v>1728</v>
      </c>
      <c r="V78" s="435">
        <v>0.80400000000000005</v>
      </c>
      <c r="W78" s="436">
        <v>48</v>
      </c>
      <c r="X78" s="1110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207">
        <v>864</v>
      </c>
      <c r="V79" s="435">
        <v>0.40200000000000002</v>
      </c>
      <c r="W79" s="436">
        <v>24</v>
      </c>
      <c r="X79" s="1110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207">
        <v>660</v>
      </c>
      <c r="V80" s="435">
        <v>0.36299999999999999</v>
      </c>
      <c r="W80" s="436">
        <v>20</v>
      </c>
      <c r="X80" s="1110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207">
        <v>660</v>
      </c>
      <c r="V81" s="435">
        <v>0.36299999999999999</v>
      </c>
      <c r="W81" s="436">
        <v>20</v>
      </c>
      <c r="X81" s="1110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207">
        <v>1728</v>
      </c>
      <c r="V82" s="435">
        <v>0.80400000000000005</v>
      </c>
      <c r="W82" s="436">
        <v>48</v>
      </c>
      <c r="X82" s="1110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207">
        <v>594</v>
      </c>
      <c r="V83" s="435">
        <v>0.42799999999999999</v>
      </c>
      <c r="W83" s="436">
        <v>18</v>
      </c>
      <c r="X83" s="1110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207">
        <v>3456</v>
      </c>
      <c r="V84" s="435">
        <v>1.607</v>
      </c>
      <c r="W84" s="436">
        <v>96</v>
      </c>
      <c r="X84" s="1110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207">
        <v>1782</v>
      </c>
      <c r="V85" s="435">
        <v>1.2829999999999999</v>
      </c>
      <c r="W85" s="436">
        <v>54</v>
      </c>
      <c r="X85" s="1110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207">
        <v>2376</v>
      </c>
      <c r="V86" s="435">
        <v>1.7110000000000001</v>
      </c>
      <c r="W86" s="436">
        <v>72</v>
      </c>
      <c r="X86" s="1110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207" t="s">
        <v>197</v>
      </c>
      <c r="V87" s="435" t="s">
        <v>515</v>
      </c>
      <c r="W87" s="436" t="s">
        <v>516</v>
      </c>
      <c r="X87" s="1110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207">
        <v>1152</v>
      </c>
      <c r="V88" s="435">
        <v>0.73699999999999999</v>
      </c>
      <c r="W88" s="436">
        <v>32</v>
      </c>
      <c r="X88" s="1110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207">
        <v>4320</v>
      </c>
      <c r="V89" s="435">
        <v>1.966</v>
      </c>
      <c r="W89" s="436">
        <v>120</v>
      </c>
      <c r="X89" s="1110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207">
        <v>1728</v>
      </c>
      <c r="V90" s="435">
        <v>0.78600000000000003</v>
      </c>
      <c r="W90" s="436">
        <v>48</v>
      </c>
      <c r="X90" s="1110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207">
        <v>2592</v>
      </c>
      <c r="V91" s="435">
        <v>1.179</v>
      </c>
      <c r="W91" s="436">
        <v>72</v>
      </c>
      <c r="X91" s="1110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207">
        <v>2376</v>
      </c>
      <c r="V92" s="435">
        <v>1.212</v>
      </c>
      <c r="W92" s="436">
        <v>66</v>
      </c>
      <c r="X92" s="1110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207">
        <v>5184</v>
      </c>
      <c r="V93" s="435">
        <v>2.359</v>
      </c>
      <c r="W93" s="436">
        <v>144</v>
      </c>
      <c r="X93" s="1110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207">
        <v>1872</v>
      </c>
      <c r="V94" s="435">
        <v>0.84199999999999997</v>
      </c>
      <c r="W94" s="436">
        <v>52</v>
      </c>
      <c r="X94" s="1110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207">
        <v>1872</v>
      </c>
      <c r="V95" s="435">
        <v>0.84199999999999997</v>
      </c>
      <c r="W95" s="436">
        <v>52</v>
      </c>
      <c r="X95" s="1110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207">
        <v>3744</v>
      </c>
      <c r="V96" s="435">
        <v>1.6659999999999999</v>
      </c>
      <c r="W96" s="436">
        <v>104</v>
      </c>
      <c r="X96" s="1110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207">
        <v>4680</v>
      </c>
      <c r="V97" s="435">
        <v>2.0830000000000002</v>
      </c>
      <c r="W97" s="436">
        <v>130</v>
      </c>
      <c r="X97" s="1110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207">
        <v>8640</v>
      </c>
      <c r="V98" s="435">
        <v>4.32</v>
      </c>
      <c r="W98" s="436">
        <v>240</v>
      </c>
      <c r="X98" s="1110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207">
        <v>1440</v>
      </c>
      <c r="V99" s="435">
        <v>0.89300000000000002</v>
      </c>
      <c r="W99" s="436">
        <v>40</v>
      </c>
      <c r="X99" s="1110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207">
        <v>2592</v>
      </c>
      <c r="V100" s="435">
        <v>1.3089999999999999</v>
      </c>
      <c r="W100" s="436">
        <v>72</v>
      </c>
      <c r="X100" s="1110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207">
        <v>1872</v>
      </c>
      <c r="V101" s="435">
        <v>0.84199999999999997</v>
      </c>
      <c r="W101" s="436">
        <v>52</v>
      </c>
      <c r="X101" s="1110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207">
        <v>14430</v>
      </c>
      <c r="V102" s="435">
        <v>6.71</v>
      </c>
      <c r="W102" s="436">
        <v>390</v>
      </c>
      <c r="X102" s="1110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207">
        <v>4810</v>
      </c>
      <c r="V103" s="435">
        <v>2.2370000000000001</v>
      </c>
      <c r="W103" s="436">
        <v>130</v>
      </c>
      <c r="X103" s="1110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207">
        <v>4810</v>
      </c>
      <c r="V104" s="435">
        <v>2.2370000000000001</v>
      </c>
      <c r="W104" s="436">
        <v>130</v>
      </c>
      <c r="X104" s="1110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207">
        <v>9620</v>
      </c>
      <c r="V105" s="435">
        <v>4.4729999999999999</v>
      </c>
      <c r="W105" s="436">
        <v>260</v>
      </c>
      <c r="X105" s="1110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207">
        <v>9620</v>
      </c>
      <c r="V106" s="435">
        <v>4.4729999999999999</v>
      </c>
      <c r="W106" s="436">
        <v>260</v>
      </c>
      <c r="X106" s="1110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207">
        <v>3300</v>
      </c>
      <c r="V107" s="435">
        <v>1.8320000000000001</v>
      </c>
      <c r="W107" s="436">
        <v>100</v>
      </c>
      <c r="X107" s="1110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207">
        <v>1320</v>
      </c>
      <c r="V108" s="435">
        <v>0.72599999999999998</v>
      </c>
      <c r="W108" s="436">
        <v>40</v>
      </c>
      <c r="X108" s="1110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207">
        <v>2592</v>
      </c>
      <c r="V109" s="435">
        <v>1.1919999999999999</v>
      </c>
      <c r="W109" s="436">
        <v>72</v>
      </c>
      <c r="X109" s="1110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207">
        <v>2592</v>
      </c>
      <c r="V110" s="435">
        <v>1.1919999999999999</v>
      </c>
      <c r="W110" s="436">
        <v>72</v>
      </c>
      <c r="X110" s="1110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207">
        <v>2592</v>
      </c>
      <c r="V111" s="435">
        <v>1.179</v>
      </c>
      <c r="W111" s="436">
        <v>72</v>
      </c>
      <c r="X111" s="1110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207">
        <v>2592</v>
      </c>
      <c r="V112" s="435">
        <v>1.1919999999999999</v>
      </c>
      <c r="W112" s="436">
        <v>72</v>
      </c>
      <c r="X112" s="1110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207">
        <v>2640</v>
      </c>
      <c r="V113" s="435">
        <v>1.452</v>
      </c>
      <c r="W113" s="436">
        <v>80</v>
      </c>
      <c r="X113" s="1110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207">
        <v>660</v>
      </c>
      <c r="V114" s="435">
        <v>0.36299999999999999</v>
      </c>
      <c r="W114" s="436">
        <v>20</v>
      </c>
      <c r="X114" s="1110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207">
        <v>1320</v>
      </c>
      <c r="V115" s="435">
        <v>0.73299999999999998</v>
      </c>
      <c r="W115" s="436">
        <v>40</v>
      </c>
      <c r="X115" s="1110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207">
        <v>1924</v>
      </c>
      <c r="V116" s="435">
        <v>0.88500000000000001</v>
      </c>
      <c r="W116" s="436">
        <v>52</v>
      </c>
      <c r="X116" s="1110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4404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207">
        <v>13468</v>
      </c>
      <c r="V117" s="435">
        <v>6.2629999999999999</v>
      </c>
      <c r="W117" s="436">
        <v>364</v>
      </c>
      <c r="X117" s="1110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4405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207">
        <v>10582</v>
      </c>
      <c r="V118" s="435">
        <v>4.9210000000000003</v>
      </c>
      <c r="W118" s="436">
        <v>286</v>
      </c>
      <c r="X118" s="1110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207">
        <v>1924</v>
      </c>
      <c r="V119" s="435">
        <v>0.89500000000000002</v>
      </c>
      <c r="W119" s="436">
        <v>52</v>
      </c>
      <c r="X119" s="1110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207">
        <v>1728</v>
      </c>
      <c r="V120" s="435">
        <v>0.873</v>
      </c>
      <c r="W120" s="436">
        <v>48</v>
      </c>
      <c r="X120" s="1110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207">
        <v>1728</v>
      </c>
      <c r="V121" s="435">
        <v>0.873</v>
      </c>
      <c r="W121" s="436">
        <v>48</v>
      </c>
      <c r="X121" s="1110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207">
        <v>2880</v>
      </c>
      <c r="V122" s="435">
        <v>1.8</v>
      </c>
      <c r="W122" s="436">
        <v>80</v>
      </c>
      <c r="X122" s="1110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207">
        <v>1728</v>
      </c>
      <c r="V123" s="435">
        <v>0.86399999999999999</v>
      </c>
      <c r="W123" s="436">
        <v>48</v>
      </c>
      <c r="X123" s="1110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207">
        <v>108</v>
      </c>
      <c r="V124" s="435">
        <v>6.8000000000000005E-2</v>
      </c>
      <c r="W124" s="436">
        <v>3</v>
      </c>
      <c r="X124" s="1110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207">
        <v>684</v>
      </c>
      <c r="V125" s="435">
        <v>0.34499999999999997</v>
      </c>
      <c r="W125" s="436">
        <v>19</v>
      </c>
      <c r="X125" s="1110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207">
        <v>936</v>
      </c>
      <c r="V126" s="435">
        <v>0.42099999999999999</v>
      </c>
      <c r="W126" s="436">
        <v>26</v>
      </c>
      <c r="X126" s="1110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207">
        <v>1980</v>
      </c>
      <c r="V127" s="435">
        <v>1.099</v>
      </c>
      <c r="W127" s="436">
        <v>60</v>
      </c>
      <c r="X127" s="1110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207">
        <v>3300</v>
      </c>
      <c r="V128" s="435">
        <v>1.8320000000000001</v>
      </c>
      <c r="W128" s="436">
        <v>100</v>
      </c>
      <c r="X128" s="1110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207">
        <v>1728</v>
      </c>
      <c r="V129" s="435">
        <v>0.78600000000000003</v>
      </c>
      <c r="W129" s="436">
        <v>48</v>
      </c>
      <c r="X129" s="1110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207">
        <v>864</v>
      </c>
      <c r="V130" s="435">
        <v>0.39700000000000002</v>
      </c>
      <c r="W130" s="436">
        <v>24</v>
      </c>
      <c r="X130" s="1110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207">
        <v>2592</v>
      </c>
      <c r="V131" s="435">
        <v>1.2050000000000001</v>
      </c>
      <c r="W131" s="436">
        <v>72</v>
      </c>
      <c r="X131" s="1110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207">
        <v>3960</v>
      </c>
      <c r="V132" s="435">
        <v>2.198</v>
      </c>
      <c r="W132" s="436">
        <v>120</v>
      </c>
      <c r="X132" s="1110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207">
        <v>660</v>
      </c>
      <c r="V133" s="435">
        <v>0.36599999999999999</v>
      </c>
      <c r="W133" s="436">
        <v>20</v>
      </c>
      <c r="X133" s="1110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207">
        <v>660</v>
      </c>
      <c r="V134" s="435">
        <v>0.36599999999999999</v>
      </c>
      <c r="W134" s="436">
        <v>20</v>
      </c>
      <c r="X134" s="1110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207">
        <v>3456</v>
      </c>
      <c r="V135" s="435">
        <v>2.2120000000000002</v>
      </c>
      <c r="W135" s="436">
        <v>96</v>
      </c>
      <c r="X135" s="1110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207">
        <v>1152</v>
      </c>
      <c r="V136" s="435">
        <v>0.73699999999999999</v>
      </c>
      <c r="W136" s="436">
        <v>32</v>
      </c>
      <c r="X136" s="1110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207">
        <v>4032</v>
      </c>
      <c r="V137" s="435">
        <v>2.58</v>
      </c>
      <c r="W137" s="436">
        <v>112</v>
      </c>
      <c r="X137" s="1110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207">
        <v>5760</v>
      </c>
      <c r="V138" s="435">
        <v>3.6859999999999999</v>
      </c>
      <c r="W138" s="436">
        <v>160</v>
      </c>
      <c r="X138" s="1110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207">
        <v>2787</v>
      </c>
      <c r="V139" s="435">
        <v>1.784</v>
      </c>
      <c r="W139" s="436">
        <v>77.400000000000006</v>
      </c>
      <c r="X139" s="1110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207">
        <v>864</v>
      </c>
      <c r="V140" s="435">
        <v>0.38900000000000001</v>
      </c>
      <c r="W140" s="436">
        <v>24</v>
      </c>
      <c r="X140" s="1110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207">
        <v>2736</v>
      </c>
      <c r="V141" s="435">
        <v>1.2310000000000001</v>
      </c>
      <c r="W141" s="436">
        <v>76</v>
      </c>
      <c r="X141" s="1110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207">
        <v>1872</v>
      </c>
      <c r="V142" s="435">
        <v>0.84199999999999997</v>
      </c>
      <c r="W142" s="436">
        <v>52</v>
      </c>
      <c r="X142" s="1110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207">
        <v>4428</v>
      </c>
      <c r="V143" s="435">
        <v>1.9930000000000001</v>
      </c>
      <c r="W143" s="436">
        <v>123</v>
      </c>
      <c r="X143" s="1110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207">
        <v>5868</v>
      </c>
      <c r="V144" s="435">
        <v>2.67</v>
      </c>
      <c r="W144" s="436">
        <v>163</v>
      </c>
      <c r="X144" s="1110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207">
        <v>864</v>
      </c>
      <c r="V145" s="435">
        <v>0.436</v>
      </c>
      <c r="W145" s="436">
        <v>24</v>
      </c>
      <c r="X145" s="1110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207">
        <v>864</v>
      </c>
      <c r="V146" s="435">
        <v>0.436</v>
      </c>
      <c r="W146" s="436">
        <v>24</v>
      </c>
      <c r="X146" s="1110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207">
        <v>2592</v>
      </c>
      <c r="V147" s="435">
        <v>1.3089999999999999</v>
      </c>
      <c r="W147" s="436">
        <v>72</v>
      </c>
      <c r="X147" s="1110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207">
        <v>4680</v>
      </c>
      <c r="V148" s="435">
        <v>2.0830000000000002</v>
      </c>
      <c r="W148" s="436">
        <v>130</v>
      </c>
      <c r="X148" s="1110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207">
        <v>3744</v>
      </c>
      <c r="V149" s="435">
        <v>1.6659999999999999</v>
      </c>
      <c r="W149" s="436">
        <v>104</v>
      </c>
      <c r="X149" s="1110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207">
        <v>4680</v>
      </c>
      <c r="V150" s="435">
        <v>2.1059999999999999</v>
      </c>
      <c r="W150" s="436">
        <v>130</v>
      </c>
      <c r="X150" s="1110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207">
        <v>864</v>
      </c>
      <c r="V151" s="435">
        <v>0.436</v>
      </c>
      <c r="W151" s="436">
        <v>24</v>
      </c>
      <c r="X151" s="1110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207">
        <v>3456</v>
      </c>
      <c r="V152" s="435">
        <v>1.7450000000000001</v>
      </c>
      <c r="W152" s="436">
        <v>96</v>
      </c>
      <c r="X152" s="1110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207">
        <v>4320</v>
      </c>
      <c r="V153" s="435">
        <v>2.1819999999999999</v>
      </c>
      <c r="W153" s="436">
        <v>120</v>
      </c>
      <c r="X153" s="1110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207">
        <v>864</v>
      </c>
      <c r="V154" s="435">
        <v>0.436</v>
      </c>
      <c r="W154" s="436">
        <v>24</v>
      </c>
      <c r="X154" s="1110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207">
        <v>4680</v>
      </c>
      <c r="V155" s="435">
        <v>2.0830000000000002</v>
      </c>
      <c r="W155" s="436">
        <v>130</v>
      </c>
      <c r="X155" s="1110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207">
        <v>10800</v>
      </c>
      <c r="V156" s="435">
        <v>6.6959999999999997</v>
      </c>
      <c r="W156" s="436">
        <v>300</v>
      </c>
      <c r="X156" s="1110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207">
        <v>1320</v>
      </c>
      <c r="V157" s="435">
        <v>0.73299999999999998</v>
      </c>
      <c r="W157" s="436">
        <v>40</v>
      </c>
      <c r="X157" s="1110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207">
        <v>5040</v>
      </c>
      <c r="V158" s="435">
        <v>3.125</v>
      </c>
      <c r="W158" s="436">
        <v>140</v>
      </c>
      <c r="X158" s="1110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207">
        <v>3168</v>
      </c>
      <c r="V159" s="435">
        <v>1.6319999999999999</v>
      </c>
      <c r="W159" s="436">
        <v>88</v>
      </c>
      <c r="X159" s="1110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207">
        <v>72</v>
      </c>
      <c r="V160" s="435">
        <v>3.5999999999999997E-2</v>
      </c>
      <c r="W160" s="436">
        <v>2</v>
      </c>
      <c r="X160" s="1110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207">
        <v>36</v>
      </c>
      <c r="V161" s="435">
        <v>1.7999999999999999E-2</v>
      </c>
      <c r="W161" s="436">
        <v>1</v>
      </c>
      <c r="X161" s="1110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207">
        <v>612</v>
      </c>
      <c r="V162" s="435">
        <v>0.379</v>
      </c>
      <c r="W162" s="436">
        <v>17</v>
      </c>
      <c r="X162" s="1110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207">
        <v>576</v>
      </c>
      <c r="V163" s="435">
        <v>0.25600000000000001</v>
      </c>
      <c r="W163" s="436">
        <v>16</v>
      </c>
      <c r="X163" s="1110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207">
        <v>360</v>
      </c>
      <c r="V164" s="435">
        <v>0.16400000000000001</v>
      </c>
      <c r="W164" s="436">
        <v>10</v>
      </c>
      <c r="X164" s="1110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207">
        <v>864</v>
      </c>
      <c r="V165" s="435">
        <v>0.432</v>
      </c>
      <c r="W165" s="436">
        <v>24</v>
      </c>
      <c r="X165" s="1110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207">
        <v>1728</v>
      </c>
      <c r="V166" s="435">
        <v>0.86399999999999999</v>
      </c>
      <c r="W166" s="436">
        <v>48</v>
      </c>
      <c r="X166" s="1110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207">
        <v>1728</v>
      </c>
      <c r="V167" s="435">
        <v>0.86399999999999999</v>
      </c>
      <c r="W167" s="436">
        <v>48</v>
      </c>
      <c r="X167" s="1110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207">
        <v>2880</v>
      </c>
      <c r="V168" s="435">
        <v>1.7709999999999999</v>
      </c>
      <c r="W168" s="436">
        <v>80</v>
      </c>
      <c r="X168" s="1110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207">
        <v>8640</v>
      </c>
      <c r="V169" s="435">
        <v>5.3570000000000002</v>
      </c>
      <c r="W169" s="436">
        <v>240</v>
      </c>
      <c r="X169" s="1110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207">
        <v>648</v>
      </c>
      <c r="V170" s="435">
        <v>0.40200000000000002</v>
      </c>
      <c r="W170" s="436">
        <v>18</v>
      </c>
      <c r="X170" s="1110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207">
        <v>7200</v>
      </c>
      <c r="V171" s="435">
        <v>4.4640000000000004</v>
      </c>
      <c r="W171" s="436">
        <v>200</v>
      </c>
      <c r="X171" s="1110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207">
        <v>5760</v>
      </c>
      <c r="V172" s="435">
        <v>3.5710000000000002</v>
      </c>
      <c r="W172" s="436">
        <v>160</v>
      </c>
      <c r="X172" s="1110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207">
        <v>10800</v>
      </c>
      <c r="V173" s="435">
        <v>6.6959999999999997</v>
      </c>
      <c r="W173" s="436">
        <v>300</v>
      </c>
      <c r="X173" s="1110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207">
        <v>5760</v>
      </c>
      <c r="V174" s="435">
        <v>3.5710000000000002</v>
      </c>
      <c r="W174" s="436">
        <v>160</v>
      </c>
      <c r="X174" s="1110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207">
        <v>720</v>
      </c>
      <c r="V175" s="435">
        <v>0.443</v>
      </c>
      <c r="W175" s="436">
        <v>20</v>
      </c>
      <c r="X175" s="1110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207">
        <v>108</v>
      </c>
      <c r="V176" s="435">
        <v>6.7000000000000004E-2</v>
      </c>
      <c r="W176" s="436">
        <v>3</v>
      </c>
      <c r="X176" s="1110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207">
        <v>252</v>
      </c>
      <c r="V177" s="435">
        <v>0.129</v>
      </c>
      <c r="W177" s="436">
        <v>7</v>
      </c>
      <c r="X177" s="1110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207">
        <v>720</v>
      </c>
      <c r="V178" s="435">
        <v>0.443</v>
      </c>
      <c r="W178" s="436">
        <v>20</v>
      </c>
      <c r="X178" s="1110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207">
        <v>1440</v>
      </c>
      <c r="V179" s="435">
        <v>0.88600000000000001</v>
      </c>
      <c r="W179" s="436">
        <v>40</v>
      </c>
      <c r="X179" s="1110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4406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207">
        <v>3600</v>
      </c>
      <c r="V180" s="435">
        <v>2.214</v>
      </c>
      <c r="W180" s="436">
        <v>100</v>
      </c>
      <c r="X180" s="1110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207">
        <v>1188</v>
      </c>
      <c r="V181" s="435">
        <v>0.85499999999999998</v>
      </c>
      <c r="W181" s="436">
        <v>36</v>
      </c>
      <c r="X181" s="1110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207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10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207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200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207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200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207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200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207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10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207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10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207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10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207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10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207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10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207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10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207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10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207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10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207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10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207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10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207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10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207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10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207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10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207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10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207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10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207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10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207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10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207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10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207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10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207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10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207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10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207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10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207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10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207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10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207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10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207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10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207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10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207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10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207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10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207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10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207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10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207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10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207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10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207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10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207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10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207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10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207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10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207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10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207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10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207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10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207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10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207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10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207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10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207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10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207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10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207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10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207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10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207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10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207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10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207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10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207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10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207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10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207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10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207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10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207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10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207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10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207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10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207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10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207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10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207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10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207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10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207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10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207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10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207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10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207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10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208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15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207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10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207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10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207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10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207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10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207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10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207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10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207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10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207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10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207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10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207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10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207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10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207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10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207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10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207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10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207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10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207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10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207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10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207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10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207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10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207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10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207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10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207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10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208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15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s="1420" customFormat="1" ht="10.5" hidden="1">
      <c r="A275" s="1419" t="s">
        <v>1380</v>
      </c>
      <c r="B275" s="1419" t="s">
        <v>61</v>
      </c>
      <c r="C275" s="1419" t="str">
        <f>IFERROR(LEFT(PV_DATA[[#This Row],[TCL REFERENCE]],FIND(".",PV_DATA[[#This Row],[TCL REFERENCE]],1)-1),"Main Line")</f>
        <v>26Feb017</v>
      </c>
      <c r="D275" s="1419" t="s">
        <v>63</v>
      </c>
      <c r="E275" s="1419" t="s">
        <v>144</v>
      </c>
      <c r="F275" s="1419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419" t="s">
        <v>402</v>
      </c>
      <c r="H275" s="1419" t="s">
        <v>1381</v>
      </c>
      <c r="I275" s="1419" t="s">
        <v>689</v>
      </c>
      <c r="J275" s="1420" t="s">
        <v>1270</v>
      </c>
      <c r="K275" s="1420" t="s">
        <v>1382</v>
      </c>
      <c r="M275" s="1420" t="s">
        <v>840</v>
      </c>
      <c r="N275" s="1421">
        <v>46076</v>
      </c>
      <c r="O275" s="1420" t="s">
        <v>70</v>
      </c>
      <c r="P275" s="1420" t="s">
        <v>195</v>
      </c>
      <c r="Q275" s="1420" t="s">
        <v>196</v>
      </c>
      <c r="R275" s="1420" t="str">
        <f>_xlfn.XLOOKUP(PV_DATA[[#This Row],[New Ark SKU]],Table9[New Ark SKU],Table9[Connector],,0)</f>
        <v>EVO2A</v>
      </c>
      <c r="S275" s="1422" t="str">
        <f>_xlfn.XLOOKUP(PV_DATA[[#This Row],[New Ark SKU]],Table9[New Ark SKU],Table9[Cable],,0)</f>
        <v>±1200mm</v>
      </c>
      <c r="T275" s="1422">
        <v>450</v>
      </c>
      <c r="U275" s="1423">
        <f>936*2</f>
        <v>1872</v>
      </c>
      <c r="V275" s="1424">
        <f>PV_DATA[[#This Row],[QUANTITY]]*PV_DATA[[#This Row],[WATT]]/1000000</f>
        <v>0.84240000000000004</v>
      </c>
      <c r="W275" s="1425">
        <f>PV_DATA[[#This Row],[QUANTITY]]/PV_DATA[[#This Row],[Qty/Pallet]]</f>
        <v>52</v>
      </c>
      <c r="X275" s="1426">
        <f>PV_DATA[[#This Row],[QUANTITY]]/PV_DATA[[#This Row],[Qty/CT]]</f>
        <v>2</v>
      </c>
      <c r="Y275" s="1420" t="s">
        <v>75</v>
      </c>
      <c r="Z275" s="1420" t="str">
        <f t="shared" si="1"/>
        <v>COMPLETED</v>
      </c>
      <c r="AB275" s="1427">
        <v>46082</v>
      </c>
      <c r="AC275" s="1428">
        <f>IF(PV_DATA[[#This Row],[Pick-Up Date]]&lt;&gt;"",_xlfn.ISOWEEKNUM(PV_DATA[[#This Row],[Pick-Up Date]]),"")</f>
        <v>9</v>
      </c>
      <c r="AD275" s="1419" t="s">
        <v>1383</v>
      </c>
      <c r="AF275" s="1420" t="s">
        <v>77</v>
      </c>
      <c r="AG275" s="1420" t="s">
        <v>61</v>
      </c>
      <c r="AH275" s="1420" t="s">
        <v>105</v>
      </c>
      <c r="AI275" s="1427">
        <v>46088</v>
      </c>
      <c r="AJ275" s="1427">
        <v>46088</v>
      </c>
      <c r="AK275" s="1427">
        <v>46088</v>
      </c>
      <c r="AL275" s="1427">
        <v>46133</v>
      </c>
      <c r="AM275" s="1427">
        <v>46142</v>
      </c>
      <c r="AN275" s="1427">
        <v>46141</v>
      </c>
      <c r="AO275" s="1420" t="s">
        <v>402</v>
      </c>
      <c r="AP275" s="1420" t="s">
        <v>889</v>
      </c>
      <c r="AQ275" s="1420" t="s">
        <v>80</v>
      </c>
      <c r="AR275" s="1420" t="s">
        <v>1384</v>
      </c>
      <c r="AS275" s="1420" t="s">
        <v>1385</v>
      </c>
      <c r="AT275" s="1429" t="s">
        <v>1386</v>
      </c>
      <c r="AU275" s="14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427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4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427">
        <f>IF(ISERROR(PV_DATA[[#This Row],[New Ark PO status]]),"",_xlfn.XLOOKUP(PV_DATA[[#This Row],[SPTN-PVHK New Ark PO'#]],New_Ark_Data[Purchase order Number],New_Ark_Data[Estimated time of arrival],"",0))</f>
        <v>46146</v>
      </c>
      <c r="AZ275" s="14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427">
        <f>IFERROR(PV_DATA[[#This Row],[ODP ETA Port]]+PV_DATA[[#This Row],[Customs/Leg3 Assumption]],"n/a")</f>
        <v>46141</v>
      </c>
      <c r="BB275" s="1422">
        <f>YEAR(PV_DATA[[#This Row],[ETA for New Ark update]])</f>
        <v>2026</v>
      </c>
      <c r="BC275" s="1420">
        <f>MONTH(PV_DATA[[#This Row],[ETA for New Ark update]])</f>
        <v>4</v>
      </c>
      <c r="BD275" s="1420">
        <f>IFERROR(_xlfn.ISOWEEKNUM(PV_DATA[[#This Row],[ETA for New Ark update]]),0)</f>
        <v>18</v>
      </c>
      <c r="BE275" s="1420">
        <f>_xlfn.XLOOKUP(PV_DATA[[#This Row],[New Ark SKU]],Table9[New Ark SKU],Table9[Total PCS per Pallet],,0)</f>
        <v>36</v>
      </c>
      <c r="BF275" s="1420">
        <f>_xlfn.XLOOKUP(PV_DATA[[#This Row],[New Ark SKU]],Table9[New Ark SKU],Table9[Total PCS per 40HQ Container],,0)</f>
        <v>936</v>
      </c>
      <c r="BG275" s="1420" t="str">
        <f>_xlfn.XLOOKUP(PV_DATA[[#This Row],[New Ark SKU]],Table9[New Ark SKU],Table9[Back Glass],,0)</f>
        <v>Black glazing</v>
      </c>
      <c r="BH275" s="1420" t="str">
        <f>_xlfn.XLOOKUP(PV_DATA[[#This Row],[PORT DESTINATION]],Table12[PORT DESTINATION],Table12[Cosco Line],,0)</f>
        <v>AEU</v>
      </c>
    </row>
    <row r="276" spans="1:62" s="1420" customFormat="1" ht="10.5" hidden="1">
      <c r="A276" s="1419" t="s">
        <v>1387</v>
      </c>
      <c r="B276" s="1419" t="s">
        <v>61</v>
      </c>
      <c r="C276" s="1419" t="str">
        <f>IFERROR(LEFT(PV_DATA[[#This Row],[TCL REFERENCE]],FIND(".",PV_DATA[[#This Row],[TCL REFERENCE]],1)-1),"Main Line")</f>
        <v>26Feb017</v>
      </c>
      <c r="D276" s="1419" t="s">
        <v>63</v>
      </c>
      <c r="E276" s="1419" t="s">
        <v>64</v>
      </c>
      <c r="F276" s="1419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419" t="s">
        <v>402</v>
      </c>
      <c r="H276" s="1419" t="s">
        <v>67</v>
      </c>
      <c r="I276" s="1419" t="s">
        <v>689</v>
      </c>
      <c r="J276" s="1420" t="s">
        <v>1263</v>
      </c>
      <c r="K276" s="1420" t="s">
        <v>1264</v>
      </c>
      <c r="M276" s="1420" t="s">
        <v>840</v>
      </c>
      <c r="N276" s="1421">
        <v>46076</v>
      </c>
      <c r="O276" s="1420" t="s">
        <v>70</v>
      </c>
      <c r="P276" s="1420" t="s">
        <v>195</v>
      </c>
      <c r="Q276" s="1420" t="s">
        <v>196</v>
      </c>
      <c r="R276" s="1420" t="str">
        <f>_xlfn.XLOOKUP(PV_DATA[[#This Row],[New Ark SKU]],Table9[New Ark SKU],Table9[Connector],,0)</f>
        <v>EVO2A</v>
      </c>
      <c r="S276" s="1422" t="str">
        <f>_xlfn.XLOOKUP(PV_DATA[[#This Row],[New Ark SKU]],Table9[New Ark SKU],Table9[Cable],,0)</f>
        <v>±1200mm</v>
      </c>
      <c r="T276" s="1422">
        <v>450</v>
      </c>
      <c r="U276" s="1423">
        <f>936*3</f>
        <v>2808</v>
      </c>
      <c r="V276" s="1424">
        <f>PV_DATA[[#This Row],[QUANTITY]]*PV_DATA[[#This Row],[WATT]]/1000000</f>
        <v>1.2636000000000001</v>
      </c>
      <c r="W276" s="1425">
        <f>PV_DATA[[#This Row],[QUANTITY]]/PV_DATA[[#This Row],[Qty/Pallet]]</f>
        <v>78</v>
      </c>
      <c r="X276" s="1426">
        <f>PV_DATA[[#This Row],[QUANTITY]]/PV_DATA[[#This Row],[Qty/CT]]</f>
        <v>3</v>
      </c>
      <c r="Y276" s="1420" t="s">
        <v>75</v>
      </c>
      <c r="Z276" s="1420" t="str">
        <f t="shared" si="1"/>
        <v>COMPLETED</v>
      </c>
      <c r="AB276" s="1427">
        <v>46082</v>
      </c>
      <c r="AC276" s="1428">
        <f>IF(PV_DATA[[#This Row],[Pick-Up Date]]&lt;&gt;"",_xlfn.ISOWEEKNUM(PV_DATA[[#This Row],[Pick-Up Date]]),"")</f>
        <v>9</v>
      </c>
      <c r="AD276" s="1419" t="s">
        <v>1388</v>
      </c>
      <c r="AF276" s="1420" t="s">
        <v>77</v>
      </c>
      <c r="AG276" s="1420" t="s">
        <v>61</v>
      </c>
      <c r="AH276" s="1420" t="s">
        <v>105</v>
      </c>
      <c r="AI276" s="1427">
        <v>46088</v>
      </c>
      <c r="AJ276" s="1427">
        <v>46088</v>
      </c>
      <c r="AK276" s="1427">
        <v>46088</v>
      </c>
      <c r="AL276" s="1427">
        <v>46133</v>
      </c>
      <c r="AM276" s="1427">
        <v>46142</v>
      </c>
      <c r="AN276" s="1427">
        <v>46141</v>
      </c>
      <c r="AO276" s="1420" t="s">
        <v>402</v>
      </c>
      <c r="AP276" s="1420" t="s">
        <v>889</v>
      </c>
      <c r="AQ276" s="1420" t="s">
        <v>80</v>
      </c>
      <c r="AR276" s="1420" t="s">
        <v>1384</v>
      </c>
      <c r="AS276" s="1420" t="s">
        <v>1386</v>
      </c>
      <c r="AT276" s="1429" t="s">
        <v>1386</v>
      </c>
      <c r="AU276" s="14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427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4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427">
        <f>IF(ISERROR(PV_DATA[[#This Row],[New Ark PO status]]),"",_xlfn.XLOOKUP(PV_DATA[[#This Row],[SPTN-PVHK New Ark PO'#]],New_Ark_Data[Purchase order Number],New_Ark_Data[Estimated time of arrival],"",0))</f>
        <v>46154</v>
      </c>
      <c r="AZ276" s="14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427">
        <f>IFERROR(PV_DATA[[#This Row],[ODP ETA Port]]+PV_DATA[[#This Row],[Customs/Leg3 Assumption]],"n/a")</f>
        <v>46148</v>
      </c>
      <c r="BB276" s="1422">
        <f>YEAR(PV_DATA[[#This Row],[ETA for New Ark update]])</f>
        <v>2026</v>
      </c>
      <c r="BC276" s="1420">
        <f>MONTH(PV_DATA[[#This Row],[ETA for New Ark update]])</f>
        <v>5</v>
      </c>
      <c r="BD276" s="1420">
        <f>IFERROR(_xlfn.ISOWEEKNUM(PV_DATA[[#This Row],[ETA for New Ark update]]),0)</f>
        <v>19</v>
      </c>
      <c r="BE276" s="1420">
        <f>_xlfn.XLOOKUP(PV_DATA[[#This Row],[New Ark SKU]],Table9[New Ark SKU],Table9[Total PCS per Pallet],,0)</f>
        <v>36</v>
      </c>
      <c r="BF276" s="1420">
        <f>_xlfn.XLOOKUP(PV_DATA[[#This Row],[New Ark SKU]],Table9[New Ark SKU],Table9[Total PCS per 40HQ Container],,0)</f>
        <v>936</v>
      </c>
      <c r="BG276" s="1420" t="str">
        <f>_xlfn.XLOOKUP(PV_DATA[[#This Row],[New Ark SKU]],Table9[New Ark SKU],Table9[Back Glass],,0)</f>
        <v>Black glazing</v>
      </c>
      <c r="BH276" s="1420" t="str">
        <f>_xlfn.XLOOKUP(PV_DATA[[#This Row],[PORT DESTINATION]],Table12[PORT DESTINATION],Table12[Cosco Line],,0)</f>
        <v>AEU</v>
      </c>
    </row>
    <row r="277" spans="1:62" s="1420" customFormat="1" ht="10.5" hidden="1">
      <c r="A277" s="1419" t="s">
        <v>1389</v>
      </c>
      <c r="B277" s="1419" t="s">
        <v>61</v>
      </c>
      <c r="C277" s="1419" t="str">
        <f>IFERROR(LEFT(PV_DATA[[#This Row],[TCL REFERENCE]],FIND(".",PV_DATA[[#This Row],[TCL REFERENCE]],1)-1),"Main Line")</f>
        <v>26Feb017</v>
      </c>
      <c r="D277" s="1419" t="s">
        <v>63</v>
      </c>
      <c r="E277" s="1419" t="s">
        <v>144</v>
      </c>
      <c r="F277" s="1419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419" t="s">
        <v>402</v>
      </c>
      <c r="H277" s="1419" t="s">
        <v>1381</v>
      </c>
      <c r="I277" s="1419" t="s">
        <v>689</v>
      </c>
      <c r="J277" s="1420" t="s">
        <v>1270</v>
      </c>
      <c r="K277" s="1420" t="s">
        <v>1382</v>
      </c>
      <c r="M277" s="1420" t="s">
        <v>840</v>
      </c>
      <c r="N277" s="1421">
        <v>46076</v>
      </c>
      <c r="O277" s="1420" t="s">
        <v>70</v>
      </c>
      <c r="P277" s="1420" t="s">
        <v>195</v>
      </c>
      <c r="Q277" s="1420" t="s">
        <v>196</v>
      </c>
      <c r="R277" s="1420" t="str">
        <f>_xlfn.XLOOKUP(PV_DATA[[#This Row],[New Ark SKU]],Table9[New Ark SKU],Table9[Connector],,0)</f>
        <v>EVO2A</v>
      </c>
      <c r="S277" s="1422" t="str">
        <f>_xlfn.XLOOKUP(PV_DATA[[#This Row],[New Ark SKU]],Table9[New Ark SKU],Table9[Cable],,0)</f>
        <v>±1200mm</v>
      </c>
      <c r="T277" s="1422">
        <v>450</v>
      </c>
      <c r="U277" s="1423">
        <f>936*5</f>
        <v>4680</v>
      </c>
      <c r="V277" s="1424">
        <f>PV_DATA[[#This Row],[QUANTITY]]*PV_DATA[[#This Row],[WATT]]/1000000</f>
        <v>2.1059999999999999</v>
      </c>
      <c r="W277" s="1425">
        <f>PV_DATA[[#This Row],[QUANTITY]]/PV_DATA[[#This Row],[Qty/Pallet]]</f>
        <v>130</v>
      </c>
      <c r="X277" s="1426">
        <f>PV_DATA[[#This Row],[QUANTITY]]/PV_DATA[[#This Row],[Qty/CT]]</f>
        <v>5</v>
      </c>
      <c r="Y277" s="1420" t="s">
        <v>75</v>
      </c>
      <c r="Z277" s="1420" t="str">
        <f t="shared" si="1"/>
        <v>COMPLETED</v>
      </c>
      <c r="AB277" s="1427">
        <v>46082</v>
      </c>
      <c r="AC277" s="1428">
        <f>IF(PV_DATA[[#This Row],[Pick-Up Date]]&lt;&gt;"",_xlfn.ISOWEEKNUM(PV_DATA[[#This Row],[Pick-Up Date]]),"")</f>
        <v>9</v>
      </c>
      <c r="AD277" s="1419" t="s">
        <v>1383</v>
      </c>
      <c r="AF277" s="1420" t="s">
        <v>77</v>
      </c>
      <c r="AG277" s="1420" t="s">
        <v>61</v>
      </c>
      <c r="AH277" s="1420" t="s">
        <v>105</v>
      </c>
      <c r="AI277" s="1427">
        <v>46088</v>
      </c>
      <c r="AJ277" s="1427">
        <v>46088</v>
      </c>
      <c r="AK277" s="1427">
        <v>46088</v>
      </c>
      <c r="AL277" s="1427">
        <v>46133</v>
      </c>
      <c r="AM277" s="1427">
        <v>46142</v>
      </c>
      <c r="AN277" s="1427">
        <v>46141</v>
      </c>
      <c r="AO277" s="1420" t="s">
        <v>402</v>
      </c>
      <c r="AP277" s="1420" t="s">
        <v>889</v>
      </c>
      <c r="AQ277" s="1420" t="s">
        <v>80</v>
      </c>
      <c r="AR277" s="1420" t="s">
        <v>1384</v>
      </c>
      <c r="AS277" s="1420" t="s">
        <v>1385</v>
      </c>
      <c r="AT277" s="1429" t="s">
        <v>1385</v>
      </c>
      <c r="AU277" s="14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427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4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427">
        <f>IF(ISERROR(PV_DATA[[#This Row],[New Ark PO status]]),"",_xlfn.XLOOKUP(PV_DATA[[#This Row],[SPTN-PVHK New Ark PO'#]],New_Ark_Data[Purchase order Number],New_Ark_Data[Estimated time of arrival],"",0))</f>
        <v>46146</v>
      </c>
      <c r="AZ277" s="14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427">
        <f>IFERROR(PV_DATA[[#This Row],[ODP ETA Port]]+PV_DATA[[#This Row],[Customs/Leg3 Assumption]],"n/a")</f>
        <v>46141</v>
      </c>
      <c r="BB277" s="1422">
        <f>YEAR(PV_DATA[[#This Row],[ETA for New Ark update]])</f>
        <v>2026</v>
      </c>
      <c r="BC277" s="1420">
        <f>MONTH(PV_DATA[[#This Row],[ETA for New Ark update]])</f>
        <v>4</v>
      </c>
      <c r="BD277" s="1420">
        <f>IFERROR(_xlfn.ISOWEEKNUM(PV_DATA[[#This Row],[ETA for New Ark update]]),0)</f>
        <v>18</v>
      </c>
      <c r="BE277" s="1420">
        <f>_xlfn.XLOOKUP(PV_DATA[[#This Row],[New Ark SKU]],Table9[New Ark SKU],Table9[Total PCS per Pallet],,0)</f>
        <v>36</v>
      </c>
      <c r="BF277" s="1420">
        <f>_xlfn.XLOOKUP(PV_DATA[[#This Row],[New Ark SKU]],Table9[New Ark SKU],Table9[Total PCS per 40HQ Container],,0)</f>
        <v>936</v>
      </c>
      <c r="BG277" s="1420" t="str">
        <f>_xlfn.XLOOKUP(PV_DATA[[#This Row],[New Ark SKU]],Table9[New Ark SKU],Table9[Back Glass],,0)</f>
        <v>Black glazing</v>
      </c>
      <c r="BH277" s="1420" t="str">
        <f>_xlfn.XLOOKUP(PV_DATA[[#This Row],[PORT DESTINATION]],Table12[PORT DESTINATION],Table12[Cosco Line],,0)</f>
        <v>AEU</v>
      </c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207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10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207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10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207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10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207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10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207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10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207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10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207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10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207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10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207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10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207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10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207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10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209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30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209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9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207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10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207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10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207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10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207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10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207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10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207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10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207">
        <v>8910</v>
      </c>
      <c r="V297" s="435">
        <f>PV_DATA[[#This Row],[QUANTITY]]*PV_DATA[[#This Row],[WATT]]/1000000</f>
        <v>6.4597499999999997</v>
      </c>
      <c r="W297" s="436">
        <v>270</v>
      </c>
      <c r="X297" s="1110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207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10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207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10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207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10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207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10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207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10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207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10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207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10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207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10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207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10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207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10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207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10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207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10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207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10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207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10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207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10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207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10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207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10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207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10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207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10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207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10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s="451" customFormat="1" ht="10.5" hidden="1">
      <c r="A318" s="447" t="s">
        <v>1598</v>
      </c>
      <c r="B318" s="447" t="s">
        <v>61</v>
      </c>
      <c r="C318" s="447" t="str">
        <f>IFERROR(LEFT(PV_DATA[[#This Row],[TCL REFERENCE]],FIND(".",PV_DATA[[#This Row],[TCL REFERENCE]],1)-1),"Main Line")</f>
        <v>26Feb019</v>
      </c>
      <c r="D318" s="447" t="s">
        <v>63</v>
      </c>
      <c r="E318" s="447" t="s">
        <v>144</v>
      </c>
      <c r="F318" s="447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7" t="s">
        <v>402</v>
      </c>
      <c r="H318" s="447" t="s">
        <v>868</v>
      </c>
      <c r="I318" s="447" t="s">
        <v>689</v>
      </c>
      <c r="J318" s="451" t="s">
        <v>147</v>
      </c>
      <c r="K318" s="451" t="s">
        <v>870</v>
      </c>
      <c r="M318" s="451" t="s">
        <v>840</v>
      </c>
      <c r="N318" s="452">
        <v>46090</v>
      </c>
      <c r="O318" s="451" t="s">
        <v>70</v>
      </c>
      <c r="P318" s="451" t="s">
        <v>71</v>
      </c>
      <c r="Q318" s="451" t="s">
        <v>72</v>
      </c>
      <c r="R318" s="451" t="str">
        <f>_xlfn.XLOOKUP(PV_DATA[[#This Row],[New Ark SKU]],Table9[New Ark SKU],Table9[Connector],,0)</f>
        <v>EVO2A</v>
      </c>
      <c r="S318" s="453" t="str">
        <f>_xlfn.XLOOKUP(PV_DATA[[#This Row],[New Ark SKU]],Table9[New Ark SKU],Table9[Cable],,0)</f>
        <v>±1200mm</v>
      </c>
      <c r="T318" s="453">
        <v>500</v>
      </c>
      <c r="U318" s="1208">
        <f>864*2</f>
        <v>1728</v>
      </c>
      <c r="V318" s="454">
        <f>PV_DATA[[#This Row],[QUANTITY]]*PV_DATA[[#This Row],[WATT]]/1000000</f>
        <v>0.86399999999999999</v>
      </c>
      <c r="W318" s="455">
        <f>PV_DATA[[#This Row],[QUANTITY]]/PV_DATA[[#This Row],[Qty/Pallet]]</f>
        <v>48</v>
      </c>
      <c r="X318" s="1115">
        <f>PV_DATA[[#This Row],[QUANTITY]]/PV_DATA[[#This Row],[Qty/CT]]</f>
        <v>2</v>
      </c>
      <c r="Y318" s="451" t="s">
        <v>75</v>
      </c>
      <c r="Z318" s="451" t="str">
        <f t="shared" si="2"/>
        <v>COMPLETED</v>
      </c>
      <c r="AA318" s="451" t="s">
        <v>1599</v>
      </c>
      <c r="AB318" s="456">
        <v>46092</v>
      </c>
      <c r="AC318" s="457">
        <f>IF(PV_DATA[[#This Row],[Pick-Up Date]]&lt;&gt;"",_xlfn.ISOWEEKNUM(PV_DATA[[#This Row],[Pick-Up Date]]),"")</f>
        <v>11</v>
      </c>
      <c r="AD318" s="447" t="s">
        <v>1600</v>
      </c>
      <c r="AF318" s="451" t="s">
        <v>77</v>
      </c>
      <c r="AG318" s="451" t="s">
        <v>61</v>
      </c>
      <c r="AH318" s="451" t="s">
        <v>356</v>
      </c>
      <c r="AI318" s="456">
        <v>46098</v>
      </c>
      <c r="AJ318" s="456">
        <v>46098</v>
      </c>
      <c r="AK318" s="456">
        <v>46098</v>
      </c>
      <c r="AL318" s="456">
        <v>46147</v>
      </c>
      <c r="AM318" s="456">
        <v>46144</v>
      </c>
      <c r="AN318" s="456">
        <v>46144</v>
      </c>
      <c r="AO318" s="451" t="s">
        <v>402</v>
      </c>
      <c r="AP318" s="451" t="s">
        <v>1596</v>
      </c>
      <c r="AQ318" s="451" t="s">
        <v>161</v>
      </c>
      <c r="AR318" s="451" t="s">
        <v>1601</v>
      </c>
      <c r="AS318" s="451" t="s">
        <v>1602</v>
      </c>
      <c r="AT318" s="451">
        <v>267064412</v>
      </c>
      <c r="AU318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6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6">
        <f>IF(ISERROR(PV_DATA[[#This Row],[New Ark PO status]]),"",_xlfn.XLOOKUP(PV_DATA[[#This Row],[SPTN-PVHK New Ark PO'#]],New_Ark_Data[Purchase order Number],New_Ark_Data[Estimated time of arrival],"",0))</f>
        <v>46161</v>
      </c>
      <c r="AZ31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6">
        <f>IFERROR(PV_DATA[[#This Row],[ODP ETA Port]]+PV_DATA[[#This Row],[Customs/Leg3 Assumption]],"n/a")</f>
        <v>46144</v>
      </c>
      <c r="BB318" s="453">
        <f>YEAR(PV_DATA[[#This Row],[ETA for New Ark update]])</f>
        <v>2026</v>
      </c>
      <c r="BC318" s="451">
        <f>MONTH(PV_DATA[[#This Row],[ETA for New Ark update]])</f>
        <v>5</v>
      </c>
      <c r="BD318" s="451">
        <f>IFERROR(_xlfn.ISOWEEKNUM(PV_DATA[[#This Row],[ETA for New Ark update]]),0)</f>
        <v>18</v>
      </c>
      <c r="BE318" s="451">
        <f>_xlfn.XLOOKUP(PV_DATA[[#This Row],[New Ark SKU]],Table9[New Ark SKU],Table9[Total PCS per Pallet],,0)</f>
        <v>36</v>
      </c>
      <c r="BF318" s="451">
        <f>_xlfn.XLOOKUP(PV_DATA[[#This Row],[New Ark SKU]],Table9[New Ark SKU],Table9[Total PCS per 40HQ Container],,0)</f>
        <v>864</v>
      </c>
      <c r="BG318" s="451" t="str">
        <f>_xlfn.XLOOKUP(PV_DATA[[#This Row],[New Ark SKU]],Table9[New Ark SKU],Table9[Back Glass],,0)</f>
        <v>Black glazing</v>
      </c>
      <c r="BH318" s="451" t="str">
        <f>_xlfn.XLOOKUP(PV_DATA[[#This Row],[PORT DESTINATION]],Table12[PORT DESTINATION],Table12[Cosco Line],,0)</f>
        <v>AEU</v>
      </c>
    </row>
    <row r="319" spans="1:62" s="451" customFormat="1" ht="10.5" hidden="1">
      <c r="A319" s="447" t="s">
        <v>1603</v>
      </c>
      <c r="B319" s="447" t="s">
        <v>61</v>
      </c>
      <c r="C319" s="447" t="str">
        <f>IFERROR(LEFT(PV_DATA[[#This Row],[TCL REFERENCE]],FIND(".",PV_DATA[[#This Row],[TCL REFERENCE]],1)-1),"Main Line")</f>
        <v>26Feb019</v>
      </c>
      <c r="D319" s="447" t="s">
        <v>63</v>
      </c>
      <c r="E319" s="447" t="s">
        <v>64</v>
      </c>
      <c r="F319" s="447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7" t="s">
        <v>402</v>
      </c>
      <c r="H319" s="447" t="s">
        <v>67</v>
      </c>
      <c r="I319" s="447" t="s">
        <v>689</v>
      </c>
      <c r="J319" s="451" t="s">
        <v>1604</v>
      </c>
      <c r="M319" s="451" t="s">
        <v>68</v>
      </c>
      <c r="N319" s="452">
        <v>46090</v>
      </c>
      <c r="O319" s="451" t="s">
        <v>70</v>
      </c>
      <c r="P319" s="451" t="s">
        <v>71</v>
      </c>
      <c r="Q319" s="451" t="s">
        <v>72</v>
      </c>
      <c r="R319" s="451" t="str">
        <f>_xlfn.XLOOKUP(PV_DATA[[#This Row],[New Ark SKU]],Table9[New Ark SKU],Table9[Connector],,0)</f>
        <v>EVO2A</v>
      </c>
      <c r="S319" s="453" t="str">
        <f>_xlfn.XLOOKUP(PV_DATA[[#This Row],[New Ark SKU]],Table9[New Ark SKU],Table9[Cable],,0)</f>
        <v>±1200mm</v>
      </c>
      <c r="T319" s="453">
        <v>500</v>
      </c>
      <c r="U319" s="1208">
        <f>864*2</f>
        <v>1728</v>
      </c>
      <c r="V319" s="454">
        <f>PV_DATA[[#This Row],[QUANTITY]]*PV_DATA[[#This Row],[WATT]]/1000000</f>
        <v>0.86399999999999999</v>
      </c>
      <c r="W319" s="455">
        <f>PV_DATA[[#This Row],[QUANTITY]]/PV_DATA[[#This Row],[Qty/Pallet]]</f>
        <v>48</v>
      </c>
      <c r="X319" s="1115">
        <f>PV_DATA[[#This Row],[QUANTITY]]/PV_DATA[[#This Row],[Qty/CT]]</f>
        <v>2</v>
      </c>
      <c r="Y319" s="451" t="s">
        <v>75</v>
      </c>
      <c r="Z319" s="451" t="str">
        <f t="shared" si="2"/>
        <v>COMPLETED</v>
      </c>
      <c r="AA319" s="451" t="s">
        <v>1599</v>
      </c>
      <c r="AB319" s="456">
        <v>46092</v>
      </c>
      <c r="AC319" s="457">
        <f>IF(PV_DATA[[#This Row],[Pick-Up Date]]&lt;&gt;"",_xlfn.ISOWEEKNUM(PV_DATA[[#This Row],[Pick-Up Date]]),"")</f>
        <v>11</v>
      </c>
      <c r="AD319" s="447" t="s">
        <v>1605</v>
      </c>
      <c r="AF319" s="451" t="s">
        <v>77</v>
      </c>
      <c r="AG319" s="451" t="s">
        <v>61</v>
      </c>
      <c r="AH319" s="451" t="s">
        <v>356</v>
      </c>
      <c r="AI319" s="456">
        <v>46098</v>
      </c>
      <c r="AJ319" s="456">
        <v>46098</v>
      </c>
      <c r="AK319" s="456">
        <v>46098</v>
      </c>
      <c r="AL319" s="456">
        <v>46147</v>
      </c>
      <c r="AM319" s="456">
        <v>46144</v>
      </c>
      <c r="AN319" s="456">
        <v>46144</v>
      </c>
      <c r="AO319" s="451" t="s">
        <v>402</v>
      </c>
      <c r="AP319" s="451" t="s">
        <v>1596</v>
      </c>
      <c r="AQ319" s="451" t="s">
        <v>161</v>
      </c>
      <c r="AR319" s="451" t="s">
        <v>1601</v>
      </c>
      <c r="AS319" s="451" t="s">
        <v>1606</v>
      </c>
      <c r="AT319" s="451">
        <v>267064412</v>
      </c>
      <c r="AU319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6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6">
        <f>IF(ISERROR(PV_DATA[[#This Row],[New Ark PO status]]),"",_xlfn.XLOOKUP(PV_DATA[[#This Row],[SPTN-PVHK New Ark PO'#]],New_Ark_Data[Purchase order Number],New_Ark_Data[Estimated time of arrival],"",0))</f>
        <v>46160</v>
      </c>
      <c r="AZ319" s="45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6">
        <f>IFERROR(PV_DATA[[#This Row],[ODP ETA Port]]+PV_DATA[[#This Row],[Customs/Leg3 Assumption]],"n/a")</f>
        <v>46154</v>
      </c>
      <c r="BB319" s="453">
        <f>YEAR(PV_DATA[[#This Row],[ETA for New Ark update]])</f>
        <v>2026</v>
      </c>
      <c r="BC319" s="451">
        <f>MONTH(PV_DATA[[#This Row],[ETA for New Ark update]])</f>
        <v>5</v>
      </c>
      <c r="BD319" s="451">
        <f>IFERROR(_xlfn.ISOWEEKNUM(PV_DATA[[#This Row],[ETA for New Ark update]]),0)</f>
        <v>20</v>
      </c>
      <c r="BE319" s="451">
        <f>_xlfn.XLOOKUP(PV_DATA[[#This Row],[New Ark SKU]],Table9[New Ark SKU],Table9[Total PCS per Pallet],,0)</f>
        <v>36</v>
      </c>
      <c r="BF319" s="451">
        <f>_xlfn.XLOOKUP(PV_DATA[[#This Row],[New Ark SKU]],Table9[New Ark SKU],Table9[Total PCS per 40HQ Container],,0)</f>
        <v>864</v>
      </c>
      <c r="BG319" s="451" t="str">
        <f>_xlfn.XLOOKUP(PV_DATA[[#This Row],[New Ark SKU]],Table9[New Ark SKU],Table9[Back Glass],,0)</f>
        <v>Black glazing</v>
      </c>
      <c r="BH319" s="451" t="str">
        <f>_xlfn.XLOOKUP(PV_DATA[[#This Row],[PORT DESTINATION]],Table12[PORT DESTINATION],Table12[Cosco Line],,0)</f>
        <v>AEU</v>
      </c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207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10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207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10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207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10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207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10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207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10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207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10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207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10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207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10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207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15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4407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207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15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207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15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207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15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207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15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207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15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4408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207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10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207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10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207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10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207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10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207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10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207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15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4407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207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15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4409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207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15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4409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207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15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4409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207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15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4410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207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15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4409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207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15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4411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207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15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4411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207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15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4411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207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15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4411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207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15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4411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207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10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4407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207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10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4412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207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10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207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10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207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10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207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10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207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10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207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10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207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10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207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15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207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15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207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15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207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10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4413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207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10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207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10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207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10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207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10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207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10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207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10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207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10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207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10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207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10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207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10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207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10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207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10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207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10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207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10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207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10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207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10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4414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207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10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4414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207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10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209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201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209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9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207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10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207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10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207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10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207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10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4415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207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10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4412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207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10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4412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207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10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4412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207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10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4412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207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10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207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10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207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10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4416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207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10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4416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207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10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207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10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207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10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4417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207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10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4413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207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10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4413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207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10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4413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207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10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4413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207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10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4413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207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10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4413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207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10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4413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207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201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4413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207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10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4418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207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10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4416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207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10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4416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207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10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4416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207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10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207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10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207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10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207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10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207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10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4415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207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10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207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10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4413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210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202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4415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207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10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4415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207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10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4415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207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10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4415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207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10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4413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207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10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4418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207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10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4418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207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10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4416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207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10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4416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207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10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4416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211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10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4416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212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14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4416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212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14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4416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212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14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4415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212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14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4415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212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14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4415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212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14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4415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212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14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4415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212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14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212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14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4418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212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14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4418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212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14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212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14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212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14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4416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212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14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4416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212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14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4416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212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14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4416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212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14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4416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212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14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212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14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212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14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212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14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212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14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212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14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212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14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212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14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212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14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212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14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212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14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4416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212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14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4416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212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14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4416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212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14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4416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212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14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4416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212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14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4416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212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14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4416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212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14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4415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212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14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4415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212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14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212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14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212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14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212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14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208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15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212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14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212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14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212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14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212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14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212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14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212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14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212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14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4415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212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14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212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14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212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14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212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14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212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14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212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14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212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14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212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14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212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14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212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14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212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14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212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14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212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14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212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14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212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14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212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14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212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14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212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14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4415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212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14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212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14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212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14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212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14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212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14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212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14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212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14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4419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212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14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4420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4421</v>
      </c>
      <c r="AQ501" s="432" t="s">
        <v>80</v>
      </c>
      <c r="AR501" s="432" t="s">
        <v>4422</v>
      </c>
      <c r="AS501" s="432" t="s">
        <v>4423</v>
      </c>
      <c r="AT501" s="483" t="s">
        <v>4423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4424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212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14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4425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4426</v>
      </c>
      <c r="AS502" s="432" t="s">
        <v>4427</v>
      </c>
      <c r="AT502" s="483" t="s">
        <v>4427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4428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212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14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4429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4430</v>
      </c>
      <c r="AS503" s="432" t="s">
        <v>4431</v>
      </c>
      <c r="AT503" s="483" t="s">
        <v>4431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4432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212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14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4433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4434</v>
      </c>
      <c r="AS504" s="432" t="s">
        <v>4435</v>
      </c>
      <c r="AT504" s="483" t="s">
        <v>4435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4436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212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14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4437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4438</v>
      </c>
      <c r="AS505" s="432" t="s">
        <v>4439</v>
      </c>
      <c r="AT505" s="483" t="s">
        <v>4439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4440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212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14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4441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4421</v>
      </c>
      <c r="AQ506" s="432" t="s">
        <v>80</v>
      </c>
      <c r="AR506" s="432" t="s">
        <v>4442</v>
      </c>
      <c r="AS506" s="432" t="s">
        <v>4443</v>
      </c>
      <c r="AT506" s="483" t="s">
        <v>4443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4444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212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14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4445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4446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4447</v>
      </c>
      <c r="AQ507" s="432" t="s">
        <v>161</v>
      </c>
      <c r="AR507" s="432" t="s">
        <v>4448</v>
      </c>
      <c r="AS507" s="432" t="s">
        <v>4449</v>
      </c>
      <c r="AT507" s="483" t="s">
        <v>4450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4451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212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14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4445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4452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4447</v>
      </c>
      <c r="AQ508" s="432" t="s">
        <v>161</v>
      </c>
      <c r="AR508" s="432" t="s">
        <v>4448</v>
      </c>
      <c r="AS508" s="432" t="s">
        <v>4449</v>
      </c>
      <c r="AT508" s="483" t="s">
        <v>4450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4453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212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14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4454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4447</v>
      </c>
      <c r="AQ509" s="432" t="s">
        <v>161</v>
      </c>
      <c r="AR509" s="432" t="s">
        <v>4455</v>
      </c>
      <c r="AS509" s="432" t="s">
        <v>4456</v>
      </c>
      <c r="AT509" s="483" t="s">
        <v>4457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4458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212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14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4459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4460</v>
      </c>
      <c r="AQ510" s="432" t="s">
        <v>80</v>
      </c>
      <c r="AR510" s="432" t="s">
        <v>4461</v>
      </c>
      <c r="AS510" s="432" t="s">
        <v>4462</v>
      </c>
      <c r="AT510" s="483" t="s">
        <v>4462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4463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212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14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4464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4465</v>
      </c>
      <c r="AQ511" s="432" t="s">
        <v>80</v>
      </c>
      <c r="AR511" s="432" t="s">
        <v>4466</v>
      </c>
      <c r="AS511" s="432" t="s">
        <v>4467</v>
      </c>
      <c r="AT511" s="483" t="s">
        <v>4467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4468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212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14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4469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4470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4471</v>
      </c>
      <c r="AS512" s="432" t="s">
        <v>4472</v>
      </c>
      <c r="AT512" s="483" t="s">
        <v>4472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4473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212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14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4474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4471</v>
      </c>
      <c r="AS513" s="432" t="s">
        <v>4472</v>
      </c>
      <c r="AT513" s="483" t="s">
        <v>4472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4475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212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14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4476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4477</v>
      </c>
      <c r="AQ514" s="432" t="s">
        <v>80</v>
      </c>
      <c r="AR514" s="432" t="s">
        <v>4478</v>
      </c>
      <c r="AS514" s="432" t="s">
        <v>4479</v>
      </c>
      <c r="AT514" s="483" t="s">
        <v>4479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4480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4481</v>
      </c>
      <c r="P515" s="432" t="s">
        <v>4482</v>
      </c>
      <c r="Q515" s="432" t="s">
        <v>4483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212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14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4484</v>
      </c>
      <c r="AE515" s="476"/>
      <c r="AF515" s="432" t="s">
        <v>4418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4485</v>
      </c>
      <c r="AS515" s="432" t="s">
        <v>4486</v>
      </c>
      <c r="AT515" s="483" t="s">
        <v>4486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4487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212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14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4488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4489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4490</v>
      </c>
      <c r="AQ516" s="432" t="s">
        <v>80</v>
      </c>
      <c r="AR516" s="432" t="s">
        <v>4491</v>
      </c>
      <c r="AS516" s="432" t="s">
        <v>4492</v>
      </c>
      <c r="AT516" s="483" t="s">
        <v>4492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4493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212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14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4494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4490</v>
      </c>
      <c r="AQ517" s="432" t="s">
        <v>80</v>
      </c>
      <c r="AR517" s="432" t="s">
        <v>4491</v>
      </c>
      <c r="AS517" s="432" t="s">
        <v>4492</v>
      </c>
      <c r="AT517" s="483" t="s">
        <v>4492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4495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212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14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4496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4497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4498</v>
      </c>
      <c r="AQ518" s="432" t="s">
        <v>80</v>
      </c>
      <c r="AR518" s="432" t="s">
        <v>4499</v>
      </c>
      <c r="AS518" s="432" t="s">
        <v>4500</v>
      </c>
      <c r="AT518" s="483" t="s">
        <v>4500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4501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212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14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4502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4503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4498</v>
      </c>
      <c r="AQ519" s="432" t="s">
        <v>80</v>
      </c>
      <c r="AR519" s="432" t="s">
        <v>4499</v>
      </c>
      <c r="AS519" s="432" t="s">
        <v>4500</v>
      </c>
      <c r="AT519" s="483" t="s">
        <v>4500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4504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212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14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4505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4490</v>
      </c>
      <c r="AQ520" s="432" t="s">
        <v>80</v>
      </c>
      <c r="AR520" s="432" t="s">
        <v>4506</v>
      </c>
      <c r="AS520" s="432" t="s">
        <v>4507</v>
      </c>
      <c r="AT520" s="483" t="s">
        <v>4507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4508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212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14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4488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4509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4490</v>
      </c>
      <c r="AQ521" s="432" t="s">
        <v>80</v>
      </c>
      <c r="AR521" s="432" t="s">
        <v>4510</v>
      </c>
      <c r="AS521" s="432" t="s">
        <v>4511</v>
      </c>
      <c r="AT521" s="483" t="s">
        <v>4511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4512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4513</v>
      </c>
      <c r="K522" s="476" t="s">
        <v>4514</v>
      </c>
      <c r="L522" s="476"/>
      <c r="M522" s="431" t="s">
        <v>840</v>
      </c>
      <c r="N522" s="477" t="s">
        <v>68</v>
      </c>
      <c r="O522" s="476" t="s">
        <v>4481</v>
      </c>
      <c r="P522" s="432" t="s">
        <v>4515</v>
      </c>
      <c r="Q522" s="432" t="s">
        <v>4516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212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14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4517</v>
      </c>
      <c r="AE522" s="476"/>
      <c r="AF522" s="432" t="s">
        <v>4418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4518</v>
      </c>
      <c r="AQ522" s="432" t="s">
        <v>80</v>
      </c>
      <c r="AR522" s="432" t="s">
        <v>4519</v>
      </c>
      <c r="AS522" s="432" t="s">
        <v>4520</v>
      </c>
      <c r="AT522" s="483" t="s">
        <v>4520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4521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212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14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4522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4518</v>
      </c>
      <c r="AQ523" s="432" t="s">
        <v>80</v>
      </c>
      <c r="AR523" s="432" t="s">
        <v>4523</v>
      </c>
      <c r="AS523" s="432" t="s">
        <v>4524</v>
      </c>
      <c r="AT523" s="483" t="s">
        <v>4524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4525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4526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212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14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4527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4528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4529</v>
      </c>
      <c r="AQ524" s="432" t="s">
        <v>80</v>
      </c>
      <c r="AR524" s="432" t="s">
        <v>4530</v>
      </c>
      <c r="AS524" s="432" t="s">
        <v>4531</v>
      </c>
      <c r="AT524" s="483" t="s">
        <v>4531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4532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4526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212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14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4496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4533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4529</v>
      </c>
      <c r="AQ525" s="432" t="s">
        <v>80</v>
      </c>
      <c r="AR525" s="432" t="s">
        <v>4534</v>
      </c>
      <c r="AS525" s="432" t="s">
        <v>4535</v>
      </c>
      <c r="AT525" s="483" t="s">
        <v>4535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4536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212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14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4537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4538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4529</v>
      </c>
      <c r="AQ526" s="432" t="s">
        <v>80</v>
      </c>
      <c r="AR526" s="432" t="s">
        <v>4534</v>
      </c>
      <c r="AS526" s="432" t="s">
        <v>4535</v>
      </c>
      <c r="AT526" s="483" t="s">
        <v>4535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4539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4540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4526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212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14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4541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4542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4529</v>
      </c>
      <c r="AQ527" s="432" t="s">
        <v>80</v>
      </c>
      <c r="AR527" s="432" t="s">
        <v>4543</v>
      </c>
      <c r="AS527" s="432" t="s">
        <v>4544</v>
      </c>
      <c r="AT527" s="483" t="s">
        <v>4544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4545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4546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212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14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4547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4548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4529</v>
      </c>
      <c r="AQ528" s="432" t="s">
        <v>80</v>
      </c>
      <c r="AR528" s="432" t="s">
        <v>4549</v>
      </c>
      <c r="AS528" s="432" t="s">
        <v>4550</v>
      </c>
      <c r="AT528" s="483" t="s">
        <v>4550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4551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4552</v>
      </c>
      <c r="L529" s="432" t="s">
        <v>4553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212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14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4547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4554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4529</v>
      </c>
      <c r="AQ529" s="432" t="s">
        <v>80</v>
      </c>
      <c r="AR529" s="432" t="s">
        <v>4549</v>
      </c>
      <c r="AS529" s="432" t="s">
        <v>4550</v>
      </c>
      <c r="AT529" s="483" t="s">
        <v>4550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4555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212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14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4556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4557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4529</v>
      </c>
      <c r="AQ530" s="432" t="s">
        <v>80</v>
      </c>
      <c r="AR530" s="432" t="s">
        <v>4558</v>
      </c>
      <c r="AS530" s="432" t="s">
        <v>4559</v>
      </c>
      <c r="AT530" s="483" t="s">
        <v>4559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4560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212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14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4556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4561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4529</v>
      </c>
      <c r="AQ531" s="432" t="s">
        <v>80</v>
      </c>
      <c r="AR531" s="432" t="s">
        <v>4562</v>
      </c>
      <c r="AS531" s="432" t="s">
        <v>4563</v>
      </c>
      <c r="AT531" s="483" t="s">
        <v>4563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4564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212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14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4445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4565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4566</v>
      </c>
      <c r="AQ532" s="432" t="s">
        <v>161</v>
      </c>
      <c r="AR532" s="432" t="s">
        <v>4567</v>
      </c>
      <c r="AS532" s="432" t="s">
        <v>4568</v>
      </c>
      <c r="AT532" s="483" t="s">
        <v>4569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4570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212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14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4445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4571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4566</v>
      </c>
      <c r="AQ533" s="432" t="s">
        <v>161</v>
      </c>
      <c r="AR533" s="432" t="s">
        <v>4567</v>
      </c>
      <c r="AS533" s="432" t="s">
        <v>4568</v>
      </c>
      <c r="AT533" s="483" t="s">
        <v>4569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4572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4573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212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14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4574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4575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4576</v>
      </c>
      <c r="AQ534" s="432" t="s">
        <v>80</v>
      </c>
      <c r="AR534" s="432" t="s">
        <v>4577</v>
      </c>
      <c r="AS534" s="432" t="s">
        <v>4578</v>
      </c>
      <c r="AT534" s="483" t="s">
        <v>4578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4579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212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14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4574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4580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4529</v>
      </c>
      <c r="AQ535" s="432" t="s">
        <v>80</v>
      </c>
      <c r="AR535" s="432" t="s">
        <v>4581</v>
      </c>
      <c r="AS535" s="432" t="s">
        <v>4582</v>
      </c>
      <c r="AT535" s="483" t="s">
        <v>4582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4583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4481</v>
      </c>
      <c r="P536" s="432" t="s">
        <v>4482</v>
      </c>
      <c r="Q536" s="432" t="s">
        <v>4483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212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14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4584</v>
      </c>
      <c r="AF536" s="432" t="s">
        <v>4418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4529</v>
      </c>
      <c r="AQ536" s="432" t="s">
        <v>80</v>
      </c>
      <c r="AR536" s="432" t="s">
        <v>4581</v>
      </c>
      <c r="AS536" s="432" t="s">
        <v>4582</v>
      </c>
      <c r="AT536" s="483" t="s">
        <v>4582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4585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4586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4526</v>
      </c>
      <c r="P537" s="432" t="s">
        <v>4587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212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14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4588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4529</v>
      </c>
      <c r="AQ537" s="432" t="s">
        <v>80</v>
      </c>
      <c r="AR537" s="432" t="s">
        <v>4589</v>
      </c>
      <c r="AS537" s="432" t="s">
        <v>4590</v>
      </c>
      <c r="AT537" s="483" t="s">
        <v>4590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4591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4586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4526</v>
      </c>
      <c r="P538" s="432" t="s">
        <v>4592</v>
      </c>
      <c r="Q538" s="432" t="s">
        <v>4593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212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14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4594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4529</v>
      </c>
      <c r="AQ538" s="432" t="s">
        <v>80</v>
      </c>
      <c r="AR538" s="432" t="s">
        <v>4589</v>
      </c>
      <c r="AS538" s="432" t="s">
        <v>4590</v>
      </c>
      <c r="AT538" s="483" t="s">
        <v>4590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4595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4586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4526</v>
      </c>
      <c r="P539" s="432" t="s">
        <v>4587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212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14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4596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4597</v>
      </c>
      <c r="AQ539" s="432" t="s">
        <v>80</v>
      </c>
      <c r="AR539" s="432" t="s">
        <v>4598</v>
      </c>
      <c r="AS539" s="432" t="s">
        <v>4599</v>
      </c>
      <c r="AT539" s="483" t="s">
        <v>4599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4600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4586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4526</v>
      </c>
      <c r="P540" s="432" t="s">
        <v>4592</v>
      </c>
      <c r="Q540" s="432" t="s">
        <v>4593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212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14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4601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4597</v>
      </c>
      <c r="AQ540" s="432" t="s">
        <v>80</v>
      </c>
      <c r="AR540" s="432" t="s">
        <v>4598</v>
      </c>
      <c r="AS540" s="432" t="s">
        <v>4599</v>
      </c>
      <c r="AT540" s="483" t="s">
        <v>4599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4602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4586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4526</v>
      </c>
      <c r="P541" s="432" t="s">
        <v>4592</v>
      </c>
      <c r="Q541" s="432" t="s">
        <v>4593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212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14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4603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4604</v>
      </c>
      <c r="AQ541" s="432" t="s">
        <v>80</v>
      </c>
      <c r="AR541" s="432" t="s">
        <v>4605</v>
      </c>
      <c r="AS541" s="432" t="s">
        <v>4606</v>
      </c>
      <c r="AT541" s="483" t="s">
        <v>4606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4607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4586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4526</v>
      </c>
      <c r="P542" s="432" t="s">
        <v>4592</v>
      </c>
      <c r="Q542" s="432" t="s">
        <v>4593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212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14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4608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4604</v>
      </c>
      <c r="AQ542" s="432" t="s">
        <v>80</v>
      </c>
      <c r="AR542" s="432" t="s">
        <v>4609</v>
      </c>
      <c r="AS542" s="432" t="s">
        <v>4610</v>
      </c>
      <c r="AT542" s="483" t="s">
        <v>4610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4611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4586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4526</v>
      </c>
      <c r="P543" s="432" t="s">
        <v>4592</v>
      </c>
      <c r="Q543" s="432" t="s">
        <v>4593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212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14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4612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4604</v>
      </c>
      <c r="AQ543" s="432" t="s">
        <v>80</v>
      </c>
      <c r="AR543" s="432" t="s">
        <v>4609</v>
      </c>
      <c r="AS543" s="432" t="s">
        <v>4610</v>
      </c>
      <c r="AT543" s="483" t="s">
        <v>4610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4613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4614</v>
      </c>
      <c r="K544" s="432" t="s">
        <v>4615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212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14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4616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4617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4604</v>
      </c>
      <c r="AQ544" s="432" t="s">
        <v>80</v>
      </c>
      <c r="AR544" s="432" t="s">
        <v>4618</v>
      </c>
      <c r="AS544" s="432" t="s">
        <v>4619</v>
      </c>
      <c r="AT544" s="483" t="s">
        <v>4619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4620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212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14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4621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4622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4623</v>
      </c>
      <c r="AQ545" s="432" t="s">
        <v>80</v>
      </c>
      <c r="AR545" s="432" t="s">
        <v>4624</v>
      </c>
      <c r="AS545" s="432" t="s">
        <v>4625</v>
      </c>
      <c r="AT545" s="483" t="s">
        <v>4625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4626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212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14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4621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4627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4623</v>
      </c>
      <c r="AQ546" s="432" t="s">
        <v>80</v>
      </c>
      <c r="AR546" s="432" t="s">
        <v>4624</v>
      </c>
      <c r="AS546" s="432" t="s">
        <v>4625</v>
      </c>
      <c r="AT546" s="483" t="s">
        <v>4625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4628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212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14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4621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4629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4623</v>
      </c>
      <c r="AQ547" s="432" t="s">
        <v>80</v>
      </c>
      <c r="AR547" s="432" t="s">
        <v>4630</v>
      </c>
      <c r="AS547" s="432" t="s">
        <v>4631</v>
      </c>
      <c r="AT547" s="483" t="s">
        <v>4631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4632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212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14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4621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4633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4623</v>
      </c>
      <c r="AQ548" s="432" t="s">
        <v>80</v>
      </c>
      <c r="AR548" s="432" t="s">
        <v>4630</v>
      </c>
      <c r="AS548" s="432" t="s">
        <v>4631</v>
      </c>
      <c r="AT548" s="483" t="s">
        <v>4631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4634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212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14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4621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4635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4623</v>
      </c>
      <c r="AQ549" s="432" t="s">
        <v>80</v>
      </c>
      <c r="AR549" s="432" t="s">
        <v>4630</v>
      </c>
      <c r="AS549" s="432" t="s">
        <v>4631</v>
      </c>
      <c r="AT549" s="483" t="s">
        <v>4631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4636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4637</v>
      </c>
      <c r="K550" s="432" t="s">
        <v>4514</v>
      </c>
      <c r="M550" s="432" t="s">
        <v>840</v>
      </c>
      <c r="N550" s="462" t="s">
        <v>68</v>
      </c>
      <c r="O550" s="432" t="s">
        <v>4481</v>
      </c>
      <c r="P550" s="432" t="s">
        <v>4515</v>
      </c>
      <c r="Q550" s="432" t="s">
        <v>4516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212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14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4638</v>
      </c>
      <c r="AF550" s="432" t="s">
        <v>4418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4639</v>
      </c>
      <c r="AQ550" s="432" t="s">
        <v>80</v>
      </c>
      <c r="AR550" s="432" t="s">
        <v>4640</v>
      </c>
      <c r="AS550" s="432" t="s">
        <v>4641</v>
      </c>
      <c r="AT550" s="483" t="s">
        <v>4641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4642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4643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208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15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4574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4644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4639</v>
      </c>
      <c r="AQ551" s="451" t="s">
        <v>80</v>
      </c>
      <c r="AR551" s="451" t="s">
        <v>4645</v>
      </c>
      <c r="AS551" s="451" t="s">
        <v>4646</v>
      </c>
      <c r="AT551" s="483" t="s">
        <v>4641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4647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4643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208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15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4648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4649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4639</v>
      </c>
      <c r="AQ552" s="451" t="s">
        <v>80</v>
      </c>
      <c r="AR552" s="451" t="s">
        <v>4645</v>
      </c>
      <c r="AS552" s="451" t="s">
        <v>4646</v>
      </c>
      <c r="AT552" s="483" t="s">
        <v>4641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4650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4643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208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15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4648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4651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4639</v>
      </c>
      <c r="AQ553" s="451" t="s">
        <v>80</v>
      </c>
      <c r="AR553" s="451" t="s">
        <v>4645</v>
      </c>
      <c r="AS553" s="451" t="s">
        <v>4646</v>
      </c>
      <c r="AT553" s="483" t="s">
        <v>4641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4652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4540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4526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212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14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4648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4653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4529</v>
      </c>
      <c r="AQ554" s="432" t="s">
        <v>80</v>
      </c>
      <c r="AR554" s="432" t="s">
        <v>4654</v>
      </c>
      <c r="AS554" s="432" t="s">
        <v>4655</v>
      </c>
      <c r="AT554" s="483" t="s">
        <v>4655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4656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4526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212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14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4648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4657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4529</v>
      </c>
      <c r="AQ555" s="432" t="s">
        <v>80</v>
      </c>
      <c r="AR555" s="432" t="s">
        <v>4658</v>
      </c>
      <c r="AS555" s="432" t="s">
        <v>4659</v>
      </c>
      <c r="AT555" s="483" t="s">
        <v>4659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4660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4526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212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14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4574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4661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4529</v>
      </c>
      <c r="AQ556" s="432" t="s">
        <v>80</v>
      </c>
      <c r="AR556" s="432" t="s">
        <v>4658</v>
      </c>
      <c r="AS556" s="432" t="s">
        <v>4659</v>
      </c>
      <c r="AT556" s="483" t="s">
        <v>4659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4662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4526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212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14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4663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4664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4665</v>
      </c>
      <c r="AQ557" s="432" t="s">
        <v>80</v>
      </c>
      <c r="AR557" s="432" t="s">
        <v>4666</v>
      </c>
      <c r="AS557" s="432" t="s">
        <v>4667</v>
      </c>
      <c r="AT557" s="483" t="s">
        <v>4667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4668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4669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212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14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4547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4670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4671</v>
      </c>
      <c r="AQ558" s="432" t="s">
        <v>161</v>
      </c>
      <c r="AR558" s="432" t="s">
        <v>4672</v>
      </c>
      <c r="AS558" s="432" t="s">
        <v>4673</v>
      </c>
      <c r="AT558" s="483" t="s">
        <v>4674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4675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212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14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4541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4676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4665</v>
      </c>
      <c r="AQ559" s="432" t="s">
        <v>80</v>
      </c>
      <c r="AR559" s="432" t="s">
        <v>4677</v>
      </c>
      <c r="AS559" s="432" t="s">
        <v>4678</v>
      </c>
      <c r="AT559" s="483" t="s">
        <v>4678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4679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4526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208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14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4680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4681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4665</v>
      </c>
      <c r="AQ560" s="432" t="s">
        <v>80</v>
      </c>
      <c r="AR560" s="432" t="s">
        <v>4682</v>
      </c>
      <c r="AS560" s="432" t="s">
        <v>4683</v>
      </c>
      <c r="AT560" s="483" t="s">
        <v>4683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4684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4526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212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14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4574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4685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4665</v>
      </c>
      <c r="AQ561" s="432" t="s">
        <v>80</v>
      </c>
      <c r="AR561" s="432" t="s">
        <v>4686</v>
      </c>
      <c r="AS561" s="432" t="s">
        <v>4687</v>
      </c>
      <c r="AT561" s="483" t="s">
        <v>4687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4688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4689</v>
      </c>
      <c r="K562" s="432" t="s">
        <v>4690</v>
      </c>
      <c r="L562" s="432">
        <v>2</v>
      </c>
      <c r="M562" s="432" t="s">
        <v>840</v>
      </c>
      <c r="N562" s="462" t="s">
        <v>68</v>
      </c>
      <c r="O562" s="432" t="s">
        <v>4526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212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14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4574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4691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4665</v>
      </c>
      <c r="AQ562" s="432" t="s">
        <v>80</v>
      </c>
      <c r="AR562" s="432" t="s">
        <v>4692</v>
      </c>
      <c r="AS562" s="432" t="s">
        <v>4693</v>
      </c>
      <c r="AT562" s="483" t="s">
        <v>4693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4694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4481</v>
      </c>
      <c r="P563" s="432" t="s">
        <v>4482</v>
      </c>
      <c r="Q563" s="432" t="s">
        <v>4483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212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14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4695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4696</v>
      </c>
      <c r="AF563" s="432" t="s">
        <v>4418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4665</v>
      </c>
      <c r="AQ563" s="432" t="s">
        <v>80</v>
      </c>
      <c r="AR563" s="432" t="s">
        <v>4697</v>
      </c>
      <c r="AS563" s="432" t="s">
        <v>4698</v>
      </c>
      <c r="AT563" s="483" t="s">
        <v>4698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4699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4481</v>
      </c>
      <c r="P564" s="432" t="s">
        <v>4515</v>
      </c>
      <c r="Q564" s="432" t="s">
        <v>4516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212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14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4695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4700</v>
      </c>
      <c r="AF564" s="432" t="s">
        <v>4418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4665</v>
      </c>
      <c r="AQ564" s="432" t="s">
        <v>80</v>
      </c>
      <c r="AR564" s="432" t="s">
        <v>4697</v>
      </c>
      <c r="AS564" s="432" t="s">
        <v>4698</v>
      </c>
      <c r="AT564" s="483" t="s">
        <v>4698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4701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4614</v>
      </c>
      <c r="K565" s="432" t="s">
        <v>4615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212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14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4695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4702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4665</v>
      </c>
      <c r="AQ565" s="432" t="s">
        <v>80</v>
      </c>
      <c r="AR565" s="432" t="s">
        <v>4703</v>
      </c>
      <c r="AS565" s="432" t="s">
        <v>4704</v>
      </c>
      <c r="AT565" s="483" t="s">
        <v>4704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4705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212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14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4706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4707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4708</v>
      </c>
      <c r="AQ566" s="432" t="s">
        <v>80</v>
      </c>
      <c r="AR566" s="432" t="s">
        <v>4709</v>
      </c>
      <c r="AS566" s="432" t="s">
        <v>4710</v>
      </c>
      <c r="AT566" s="483" t="s">
        <v>4710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4711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212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14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4695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4712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4713</v>
      </c>
      <c r="AQ567" s="432" t="s">
        <v>80</v>
      </c>
      <c r="AR567" s="432" t="s">
        <v>4714</v>
      </c>
      <c r="AS567" s="432" t="s">
        <v>4715</v>
      </c>
      <c r="AT567" s="483" t="s">
        <v>4715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4716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212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14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4706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4717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4713</v>
      </c>
      <c r="AQ568" s="432" t="s">
        <v>80</v>
      </c>
      <c r="AR568" s="432" t="s">
        <v>4714</v>
      </c>
      <c r="AS568" s="432" t="s">
        <v>4715</v>
      </c>
      <c r="AT568" s="483" t="s">
        <v>4715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4718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212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14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4695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4719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4720</v>
      </c>
      <c r="AQ569" s="432" t="s">
        <v>80</v>
      </c>
      <c r="AR569" s="432" t="s">
        <v>4721</v>
      </c>
      <c r="AS569" s="432" t="s">
        <v>4722</v>
      </c>
      <c r="AT569" s="483" t="s">
        <v>4722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4723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212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14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4724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4725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4720</v>
      </c>
      <c r="AQ570" s="432" t="s">
        <v>80</v>
      </c>
      <c r="AR570" s="432" t="s">
        <v>4726</v>
      </c>
      <c r="AS570" s="432" t="s">
        <v>4727</v>
      </c>
      <c r="AT570" s="483" t="s">
        <v>4727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4728</v>
      </c>
      <c r="B571" s="440" t="s">
        <v>2132</v>
      </c>
      <c r="C571" s="440" t="s">
        <v>4729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212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14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4724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4730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4720</v>
      </c>
      <c r="AQ571" s="432" t="s">
        <v>80</v>
      </c>
      <c r="AR571" s="432" t="s">
        <v>4726</v>
      </c>
      <c r="AS571" s="432" t="s">
        <v>4727</v>
      </c>
      <c r="AT571" s="483" t="s">
        <v>4727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4731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4689</v>
      </c>
      <c r="K572" s="432" t="s">
        <v>4690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212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14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4695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4732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4733</v>
      </c>
      <c r="AQ572" s="432" t="s">
        <v>80</v>
      </c>
      <c r="AR572" s="432" t="s">
        <v>4734</v>
      </c>
      <c r="AS572" s="432" t="s">
        <v>4735</v>
      </c>
      <c r="AT572" s="483" t="s">
        <v>4735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4736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4481</v>
      </c>
      <c r="P573" s="432" t="s">
        <v>4482</v>
      </c>
      <c r="Q573" s="432" t="s">
        <v>4483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212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14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4695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4737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4733</v>
      </c>
      <c r="AQ573" s="432" t="s">
        <v>80</v>
      </c>
      <c r="AR573" s="432" t="s">
        <v>4738</v>
      </c>
      <c r="AS573" s="432" t="s">
        <v>4739</v>
      </c>
      <c r="AT573" s="483" t="s">
        <v>4739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4740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4526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212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14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4574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4741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4742</v>
      </c>
      <c r="AQ574" s="432" t="s">
        <v>161</v>
      </c>
      <c r="AR574" s="432" t="s">
        <v>4743</v>
      </c>
      <c r="AS574" s="432" t="s">
        <v>4744</v>
      </c>
      <c r="AT574" s="483" t="s">
        <v>4744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4745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4526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212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14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4663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4746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4747</v>
      </c>
      <c r="AQ575" s="432" t="s">
        <v>80</v>
      </c>
      <c r="AR575" s="432" t="s">
        <v>4748</v>
      </c>
      <c r="AS575" s="432" t="s">
        <v>4749</v>
      </c>
      <c r="AT575" s="483" t="s">
        <v>4749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4750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4526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212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14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4724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4751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4747</v>
      </c>
      <c r="AQ576" s="432" t="s">
        <v>80</v>
      </c>
      <c r="AR576" s="432" t="s">
        <v>4748</v>
      </c>
      <c r="AS576" s="432" t="s">
        <v>4749</v>
      </c>
      <c r="AT576" s="483" t="s">
        <v>4749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4752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212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14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4753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4747</v>
      </c>
      <c r="AQ577" s="432" t="s">
        <v>80</v>
      </c>
      <c r="AR577" s="432" t="s">
        <v>4754</v>
      </c>
      <c r="AS577" s="432" t="s">
        <v>4755</v>
      </c>
      <c r="AT577" s="483" t="s">
        <v>4755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4756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212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14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4757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4747</v>
      </c>
      <c r="AQ578" s="432" t="s">
        <v>80</v>
      </c>
      <c r="AR578" s="432" t="s">
        <v>4758</v>
      </c>
      <c r="AS578" s="432" t="s">
        <v>4759</v>
      </c>
      <c r="AT578" s="483" t="s">
        <v>4759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4760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4513</v>
      </c>
      <c r="K579" s="432" t="s">
        <v>4761</v>
      </c>
      <c r="L579" s="432">
        <v>1</v>
      </c>
      <c r="M579" s="432" t="s">
        <v>840</v>
      </c>
      <c r="N579" s="462" t="s">
        <v>68</v>
      </c>
      <c r="O579" s="432" t="s">
        <v>4526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212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14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4502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4762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4747</v>
      </c>
      <c r="AQ579" s="432" t="s">
        <v>80</v>
      </c>
      <c r="AR579" s="432" t="s">
        <v>4763</v>
      </c>
      <c r="AS579" s="432" t="s">
        <v>4764</v>
      </c>
      <c r="AT579" s="483" t="s">
        <v>4764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4765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4766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4526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212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14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4767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4768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4769</v>
      </c>
      <c r="AQ580" s="432" t="s">
        <v>161</v>
      </c>
      <c r="AR580" s="432" t="s">
        <v>4770</v>
      </c>
      <c r="AS580" s="432" t="s">
        <v>4771</v>
      </c>
      <c r="AT580" s="483" t="s">
        <v>4771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4772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4773</v>
      </c>
      <c r="M581" s="432" t="s">
        <v>68</v>
      </c>
      <c r="N581" s="462">
        <v>46167</v>
      </c>
      <c r="O581" s="432" t="s">
        <v>4526</v>
      </c>
      <c r="P581" s="432" t="s">
        <v>4587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212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14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4774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4775</v>
      </c>
      <c r="AF581" s="432" t="s">
        <v>122</v>
      </c>
      <c r="AG581" s="432" t="s">
        <v>123</v>
      </c>
      <c r="AH581" s="448" t="s">
        <v>4776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4777</v>
      </c>
      <c r="AQ581" s="432" t="s">
        <v>161</v>
      </c>
      <c r="AR581" s="432" t="s">
        <v>4778</v>
      </c>
      <c r="AS581" s="432" t="s">
        <v>4779</v>
      </c>
      <c r="AT581" s="483" t="s">
        <v>4779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4780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4781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212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14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4695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4782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4783</v>
      </c>
      <c r="AQ582" s="432" t="s">
        <v>80</v>
      </c>
      <c r="AR582" s="432" t="s">
        <v>4784</v>
      </c>
      <c r="AS582" s="432" t="s">
        <v>4785</v>
      </c>
      <c r="AT582" s="483" t="s">
        <v>4785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4786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4586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4526</v>
      </c>
      <c r="P583" s="432" t="s">
        <v>4587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212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14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4787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4747</v>
      </c>
      <c r="AQ583" s="432" t="s">
        <v>80</v>
      </c>
      <c r="AR583" s="432" t="s">
        <v>4788</v>
      </c>
      <c r="AS583" s="432" t="s">
        <v>4789</v>
      </c>
      <c r="AT583" s="483" t="s">
        <v>4789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4790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4586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4526</v>
      </c>
      <c r="P584" s="432" t="s">
        <v>4587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212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14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4791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4747</v>
      </c>
      <c r="AQ584" s="432" t="s">
        <v>161</v>
      </c>
      <c r="AR584" s="432" t="s">
        <v>4792</v>
      </c>
      <c r="AT584" s="483" t="s">
        <v>4793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4794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4586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4526</v>
      </c>
      <c r="P585" s="432" t="s">
        <v>4592</v>
      </c>
      <c r="Q585" s="432" t="s">
        <v>4593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212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14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4795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4796</v>
      </c>
      <c r="AQ585" s="432" t="s">
        <v>161</v>
      </c>
      <c r="AR585" s="432" t="s">
        <v>4797</v>
      </c>
      <c r="AT585" s="483" t="s">
        <v>4798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4799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212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14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4800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4801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v>46245.821898148148</v>
      </c>
      <c r="AO586" s="432" t="s">
        <v>402</v>
      </c>
      <c r="AP586" s="432" t="s">
        <v>4802</v>
      </c>
      <c r="AQ586" s="432" t="s">
        <v>80</v>
      </c>
      <c r="AR586" s="432" t="s">
        <v>4803</v>
      </c>
      <c r="AS586" s="432" t="s">
        <v>4804</v>
      </c>
      <c r="AT586" s="432" t="s">
        <v>4804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4805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4526</v>
      </c>
      <c r="P587" s="432" t="s">
        <v>4592</v>
      </c>
      <c r="Q587" s="432" t="s">
        <v>4593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212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14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4806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v>46235.175381944442</v>
      </c>
      <c r="AO587" s="432" t="s">
        <v>402</v>
      </c>
      <c r="AP587" s="432" t="s">
        <v>4807</v>
      </c>
      <c r="AQ587" s="432" t="s">
        <v>80</v>
      </c>
      <c r="AR587" s="432" t="s">
        <v>4808</v>
      </c>
      <c r="AS587" s="432" t="s">
        <v>4809</v>
      </c>
      <c r="AT587" s="432" t="s">
        <v>4809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4810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212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14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4724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4811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v>46239.457638888889</v>
      </c>
      <c r="AO588" s="432" t="s">
        <v>402</v>
      </c>
      <c r="AP588" s="432" t="s">
        <v>4802</v>
      </c>
      <c r="AQ588" s="432" t="s">
        <v>80</v>
      </c>
      <c r="AR588" s="432" t="s">
        <v>4812</v>
      </c>
      <c r="AS588" s="432" t="s">
        <v>4813</v>
      </c>
      <c r="AT588" s="432" t="s">
        <v>4813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4814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212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14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4815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4816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v>46239.457638888889</v>
      </c>
      <c r="AO589" s="432" t="s">
        <v>402</v>
      </c>
      <c r="AP589" s="432" t="s">
        <v>4802</v>
      </c>
      <c r="AQ589" s="432" t="s">
        <v>80</v>
      </c>
      <c r="AR589" s="432" t="s">
        <v>4812</v>
      </c>
      <c r="AS589" s="432" t="s">
        <v>4813</v>
      </c>
      <c r="AT589" s="432" t="s">
        <v>4813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4817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212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14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4800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4818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4819</v>
      </c>
      <c r="AQ590" s="432" t="s">
        <v>80</v>
      </c>
      <c r="AR590" s="432" t="s">
        <v>4820</v>
      </c>
      <c r="AS590" s="432" t="s">
        <v>4821</v>
      </c>
      <c r="AT590" s="432" t="s">
        <v>4821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4822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4823</v>
      </c>
      <c r="K591" s="480" t="s">
        <v>4824</v>
      </c>
      <c r="L591" s="432">
        <v>1</v>
      </c>
      <c r="M591" s="432" t="s">
        <v>840</v>
      </c>
      <c r="N591" s="462">
        <v>46153</v>
      </c>
      <c r="O591" s="432" t="s">
        <v>4481</v>
      </c>
      <c r="P591" s="432" t="s">
        <v>4515</v>
      </c>
      <c r="Q591" s="432" t="s">
        <v>4516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212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14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4825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v>46250.44736111111</v>
      </c>
      <c r="AO591" s="432" t="s">
        <v>402</v>
      </c>
      <c r="AP591" s="432" t="s">
        <v>4802</v>
      </c>
      <c r="AQ591" s="432" t="s">
        <v>80</v>
      </c>
      <c r="AR591" s="432" t="s">
        <v>4826</v>
      </c>
      <c r="AS591" s="432" t="s">
        <v>4827</v>
      </c>
      <c r="AT591" s="432" t="s">
        <v>4827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4828</v>
      </c>
      <c r="B592" s="440" t="s">
        <v>111</v>
      </c>
      <c r="C592" s="440" t="s">
        <v>4829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4481</v>
      </c>
      <c r="P592" s="432" t="s">
        <v>4482</v>
      </c>
      <c r="Q592" s="432" t="s">
        <v>4483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212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14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4830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v>46250.44736111111</v>
      </c>
      <c r="AO592" s="432" t="s">
        <v>402</v>
      </c>
      <c r="AP592" s="432" t="s">
        <v>4802</v>
      </c>
      <c r="AQ592" s="432" t="s">
        <v>80</v>
      </c>
      <c r="AR592" s="432" t="s">
        <v>4831</v>
      </c>
      <c r="AS592" s="432" t="s">
        <v>4832</v>
      </c>
      <c r="AT592" s="432" t="s">
        <v>4832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4833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212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14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4695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4834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v>46250.44736111111</v>
      </c>
      <c r="AO593" s="432" t="s">
        <v>402</v>
      </c>
      <c r="AP593" s="432" t="s">
        <v>4802</v>
      </c>
      <c r="AQ593" s="432" t="s">
        <v>80</v>
      </c>
      <c r="AR593" s="432" t="s">
        <v>4835</v>
      </c>
      <c r="AS593" s="432" t="s">
        <v>4836</v>
      </c>
      <c r="AT593" s="432" t="s">
        <v>4836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4837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4689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212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14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4695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4838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v>46250.44736111111</v>
      </c>
      <c r="AO594" s="432" t="s">
        <v>402</v>
      </c>
      <c r="AP594" s="432" t="s">
        <v>4802</v>
      </c>
      <c r="AQ594" s="432" t="s">
        <v>80</v>
      </c>
      <c r="AR594" s="432" t="s">
        <v>4835</v>
      </c>
      <c r="AS594" s="432" t="s">
        <v>4836</v>
      </c>
      <c r="AT594" s="432" t="s">
        <v>4836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4839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4643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208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15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4695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4840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4807</v>
      </c>
      <c r="AQ595" s="451" t="s">
        <v>80</v>
      </c>
      <c r="AR595" s="451" t="s">
        <v>4841</v>
      </c>
      <c r="AS595" s="451" t="s">
        <v>4842</v>
      </c>
      <c r="AT595" s="451" t="s">
        <v>4842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4843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4844</v>
      </c>
      <c r="L596" s="432">
        <v>1</v>
      </c>
      <c r="M596" s="432" t="s">
        <v>840</v>
      </c>
      <c r="N596" s="462">
        <v>46153</v>
      </c>
      <c r="O596" s="432" t="s">
        <v>4526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212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14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4621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4845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4846</v>
      </c>
      <c r="AQ596" s="432" t="s">
        <v>161</v>
      </c>
      <c r="AR596" s="432" t="s">
        <v>4847</v>
      </c>
      <c r="AS596" s="432" t="s">
        <v>4848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4849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4850</v>
      </c>
      <c r="L597" s="432">
        <v>1</v>
      </c>
      <c r="M597" s="432" t="s">
        <v>840</v>
      </c>
      <c r="N597" s="462">
        <v>46153</v>
      </c>
      <c r="O597" s="432" t="s">
        <v>4526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212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14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4724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4851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4852</v>
      </c>
      <c r="AQ597" s="432" t="s">
        <v>161</v>
      </c>
      <c r="AR597" s="432" t="s">
        <v>4853</v>
      </c>
      <c r="AS597" s="432" t="s">
        <v>4854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4855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4856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212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14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4857</v>
      </c>
      <c r="AB598" s="442">
        <v>46182</v>
      </c>
      <c r="AC598" s="446">
        <f>IF(PV_DATA[[#This Row],[Pick-Up Date]]&lt;&gt;"",_xlfn.ISOWEEKNUM(PV_DATA[[#This Row],[Pick-Up Date]]),"")</f>
        <v>24</v>
      </c>
      <c r="AD598" s="1052" t="s">
        <v>4858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4742</v>
      </c>
      <c r="AQ598" s="432" t="s">
        <v>161</v>
      </c>
      <c r="AR598" s="432" t="s">
        <v>4859</v>
      </c>
      <c r="AS598" s="432" t="s">
        <v>4860</v>
      </c>
      <c r="AT598" s="432" t="s">
        <v>4860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4861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4526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212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14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4815</v>
      </c>
      <c r="AB599" s="442">
        <v>46178</v>
      </c>
      <c r="AC599" s="468">
        <f>IF(PV_DATA[[#This Row],[Pick-Up Date]]&lt;&gt;"",_xlfn.ISOWEEKNUM(PV_DATA[[#This Row],[Pick-Up Date]]),"")</f>
        <v>23</v>
      </c>
      <c r="AD599" s="910" t="s">
        <v>4862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4863</v>
      </c>
      <c r="AQ599" s="432" t="s">
        <v>161</v>
      </c>
      <c r="AR599" s="432" t="s">
        <v>4864</v>
      </c>
      <c r="AS599" s="432" t="s">
        <v>4865</v>
      </c>
      <c r="AT599" s="432" t="s">
        <v>4865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4866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4867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4526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212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14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4868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4869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4852</v>
      </c>
      <c r="AQ600" s="432" t="s">
        <v>161</v>
      </c>
      <c r="AR600" s="432" t="s">
        <v>4870</v>
      </c>
      <c r="AS600" s="432" t="s">
        <v>4871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4872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4873</v>
      </c>
      <c r="K601" s="432" t="s">
        <v>4874</v>
      </c>
      <c r="L601" s="432">
        <v>1</v>
      </c>
      <c r="M601" s="432" t="s">
        <v>840</v>
      </c>
      <c r="N601" s="462">
        <v>46153</v>
      </c>
      <c r="O601" s="432" t="s">
        <v>4526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212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14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4724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4875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4852</v>
      </c>
      <c r="AQ601" s="432" t="s">
        <v>161</v>
      </c>
      <c r="AR601" s="432" t="s">
        <v>4870</v>
      </c>
      <c r="AS601" s="432" t="s">
        <v>4871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4876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4614</v>
      </c>
      <c r="K602" s="432" t="s">
        <v>4615</v>
      </c>
      <c r="L602" s="432">
        <v>1</v>
      </c>
      <c r="M602" s="432" t="s">
        <v>840</v>
      </c>
      <c r="N602" s="462">
        <v>45809</v>
      </c>
      <c r="O602" s="432" t="s">
        <v>4526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212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14">
        <v>1</v>
      </c>
      <c r="Y602" s="440" t="s">
        <v>951</v>
      </c>
      <c r="Z602" s="431" t="str">
        <f t="shared" si="6"/>
        <v>COMPLETED</v>
      </c>
      <c r="AA602" s="432" t="s">
        <v>4877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4878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v>46241.871620370373</v>
      </c>
      <c r="AO602" s="432" t="s">
        <v>402</v>
      </c>
      <c r="AP602" s="432" t="s">
        <v>4879</v>
      </c>
      <c r="AQ602" s="432" t="s">
        <v>80</v>
      </c>
      <c r="AR602" s="432" t="s">
        <v>4880</v>
      </c>
      <c r="AS602" s="432" t="s">
        <v>4881</v>
      </c>
      <c r="AT602" s="432" t="s">
        <v>4881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4882</v>
      </c>
      <c r="B603" s="440" t="s">
        <v>61</v>
      </c>
      <c r="C603" s="440" t="s">
        <v>4883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4614</v>
      </c>
      <c r="K603" s="432" t="s">
        <v>4615</v>
      </c>
      <c r="L603" s="432">
        <v>1</v>
      </c>
      <c r="M603" s="432" t="s">
        <v>840</v>
      </c>
      <c r="N603" s="462">
        <v>45809</v>
      </c>
      <c r="O603" s="432" t="s">
        <v>4526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212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14">
        <v>5</v>
      </c>
      <c r="Y603" s="440" t="s">
        <v>951</v>
      </c>
      <c r="Z603" s="431" t="str">
        <f t="shared" si="6"/>
        <v>COMPLETED</v>
      </c>
      <c r="AA603" s="432" t="s">
        <v>4884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4885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4879</v>
      </c>
      <c r="AQ603" s="432" t="s">
        <v>80</v>
      </c>
      <c r="AR603" s="432" t="s">
        <v>4886</v>
      </c>
      <c r="AS603" s="432" t="s">
        <v>4887</v>
      </c>
      <c r="AT603" s="432" t="s">
        <v>4887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4888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4889</v>
      </c>
      <c r="M604" s="432" t="s">
        <v>68</v>
      </c>
      <c r="N604" s="462">
        <v>45809</v>
      </c>
      <c r="O604" s="432" t="s">
        <v>4526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212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14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4857</v>
      </c>
      <c r="AB604" s="442">
        <v>46180</v>
      </c>
      <c r="AC604" s="468">
        <f>IF(PV_DATA[[#This Row],[Pick-Up Date]]&lt;&gt;"",_xlfn.ISOWEEKNUM(PV_DATA[[#This Row],[Pick-Up Date]]),"")</f>
        <v>23</v>
      </c>
      <c r="AD604" s="1052" t="s">
        <v>4890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4891</v>
      </c>
      <c r="AQ604" s="432" t="s">
        <v>161</v>
      </c>
      <c r="AR604" s="432" t="s">
        <v>4892</v>
      </c>
      <c r="AS604" s="432" t="s">
        <v>4893</v>
      </c>
      <c r="AT604" s="432" t="s">
        <v>4893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4894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4889</v>
      </c>
      <c r="M605" s="432" t="s">
        <v>68</v>
      </c>
      <c r="N605" s="462">
        <v>45809</v>
      </c>
      <c r="O605" s="432" t="s">
        <v>4526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212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14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4857</v>
      </c>
      <c r="AB605" s="442">
        <v>46180</v>
      </c>
      <c r="AC605" s="468">
        <f>IF(PV_DATA[[#This Row],[Pick-Up Date]]&lt;&gt;"",_xlfn.ISOWEEKNUM(PV_DATA[[#This Row],[Pick-Up Date]]),"")</f>
        <v>23</v>
      </c>
      <c r="AD605" s="1052" t="s">
        <v>4895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4891</v>
      </c>
      <c r="AQ605" s="432" t="s">
        <v>161</v>
      </c>
      <c r="AR605" s="432" t="s">
        <v>4892</v>
      </c>
      <c r="AS605" s="432" t="s">
        <v>4893</v>
      </c>
      <c r="AT605" s="432" t="s">
        <v>4893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4896</v>
      </c>
      <c r="B606" s="440" t="s">
        <v>61</v>
      </c>
      <c r="C606" s="440" t="s">
        <v>4897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4526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208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14">
        <v>4</v>
      </c>
      <c r="Y606" s="440" t="s">
        <v>951</v>
      </c>
      <c r="Z606" s="431" t="str">
        <f t="shared" si="6"/>
        <v>COMPLETED</v>
      </c>
      <c r="AA606" s="432" t="s">
        <v>4868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4898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4879</v>
      </c>
      <c r="AQ606" s="432" t="s">
        <v>80</v>
      </c>
      <c r="AR606" s="432" t="s">
        <v>4899</v>
      </c>
      <c r="AS606" s="432" t="s">
        <v>4900</v>
      </c>
      <c r="AT606" s="432" t="s">
        <v>4900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4901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4526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208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14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4868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4902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4879</v>
      </c>
      <c r="AQ607" s="432" t="s">
        <v>80</v>
      </c>
      <c r="AR607" s="432" t="s">
        <v>4903</v>
      </c>
      <c r="AS607" s="432" t="s">
        <v>4904</v>
      </c>
      <c r="AT607" s="432" t="s">
        <v>4904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4905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4513</v>
      </c>
      <c r="K608" s="432" t="s">
        <v>4906</v>
      </c>
      <c r="L608" s="432">
        <v>2</v>
      </c>
      <c r="M608" s="432" t="s">
        <v>840</v>
      </c>
      <c r="N608" s="462">
        <v>46153</v>
      </c>
      <c r="O608" s="432" t="s">
        <v>4526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212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14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4907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4908</v>
      </c>
      <c r="AO608" s="432" t="s">
        <v>402</v>
      </c>
      <c r="AP608" s="432" t="s">
        <v>4879</v>
      </c>
      <c r="AQ608" s="432" t="s">
        <v>80</v>
      </c>
      <c r="AR608" s="432" t="s">
        <v>4909</v>
      </c>
      <c r="AS608" s="432" t="s">
        <v>4910</v>
      </c>
      <c r="AT608" s="432" t="s">
        <v>4910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4911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4513</v>
      </c>
      <c r="K609" s="432" t="s">
        <v>4906</v>
      </c>
      <c r="L609" s="432">
        <v>2</v>
      </c>
      <c r="M609" s="432" t="s">
        <v>840</v>
      </c>
      <c r="N609" s="462">
        <v>46153</v>
      </c>
      <c r="O609" s="432" t="s">
        <v>4526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212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14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4912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4908</v>
      </c>
      <c r="AO609" s="432" t="s">
        <v>402</v>
      </c>
      <c r="AP609" s="432" t="s">
        <v>4879</v>
      </c>
      <c r="AQ609" s="432" t="s">
        <v>80</v>
      </c>
      <c r="AR609" s="432" t="s">
        <v>4913</v>
      </c>
      <c r="AS609" s="432" t="s">
        <v>4914</v>
      </c>
      <c r="AT609" s="432" t="s">
        <v>4914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4915</v>
      </c>
      <c r="B610" s="440" t="s">
        <v>4916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4526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212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14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4917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4918</v>
      </c>
      <c r="AQ610" s="432" t="s">
        <v>80</v>
      </c>
      <c r="AR610" s="432" t="s">
        <v>4919</v>
      </c>
      <c r="AS610" s="432" t="s">
        <v>4920</v>
      </c>
      <c r="AT610" s="432" t="s">
        <v>4920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4921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4526</v>
      </c>
      <c r="P611" s="432" t="s">
        <v>4587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212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14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4922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4918</v>
      </c>
      <c r="AQ611" s="432" t="s">
        <v>80</v>
      </c>
      <c r="AR611" s="432" t="s">
        <v>4923</v>
      </c>
      <c r="AS611" s="432" t="s">
        <v>4924</v>
      </c>
      <c r="AT611" s="432" t="s">
        <v>4924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4925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4614</v>
      </c>
      <c r="K612" s="432" t="s">
        <v>4615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212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14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4695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4926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4927</v>
      </c>
      <c r="AQ612" s="432" t="s">
        <v>80</v>
      </c>
      <c r="AR612" s="432" t="s">
        <v>4928</v>
      </c>
      <c r="AS612" s="432" t="s">
        <v>4929</v>
      </c>
      <c r="AT612" s="432" t="s">
        <v>4929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4930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4586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4526</v>
      </c>
      <c r="P613" s="451" t="s">
        <v>4587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208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15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4931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4932</v>
      </c>
      <c r="AQ613" s="451" t="s">
        <v>80</v>
      </c>
      <c r="AR613" s="451" t="s">
        <v>4933</v>
      </c>
      <c r="AS613" s="451" t="s">
        <v>4934</v>
      </c>
      <c r="AT613" s="451" t="s">
        <v>4934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4935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4586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4526</v>
      </c>
      <c r="P614" s="451" t="s">
        <v>4587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208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15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4936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4937</v>
      </c>
      <c r="AQ614" s="451" t="s">
        <v>80</v>
      </c>
      <c r="AR614" s="451" t="s">
        <v>4938</v>
      </c>
      <c r="AS614" s="451" t="s">
        <v>4939</v>
      </c>
      <c r="AT614" s="451" t="s">
        <v>4939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4940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4586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4526</v>
      </c>
      <c r="P615" s="432" t="s">
        <v>4592</v>
      </c>
      <c r="Q615" s="432" t="s">
        <v>4593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212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14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4941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4937</v>
      </c>
      <c r="AQ615" s="432" t="s">
        <v>161</v>
      </c>
      <c r="AR615" s="432" t="s">
        <v>4942</v>
      </c>
      <c r="AS615" s="432" t="s">
        <v>4943</v>
      </c>
      <c r="AT615" s="432" t="s">
        <v>4943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4944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4586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4526</v>
      </c>
      <c r="P616" s="432" t="s">
        <v>4592</v>
      </c>
      <c r="Q616" s="432" t="s">
        <v>4593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212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14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4945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4937</v>
      </c>
      <c r="AQ616" s="432" t="s">
        <v>161</v>
      </c>
      <c r="AR616" s="432" t="s">
        <v>4946</v>
      </c>
      <c r="AS616" s="432" t="s">
        <v>4947</v>
      </c>
      <c r="AT616" s="432" t="s">
        <v>4947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4948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4586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4526</v>
      </c>
      <c r="P617" s="432" t="s">
        <v>4592</v>
      </c>
      <c r="Q617" s="432" t="s">
        <v>4593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212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14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4949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4937</v>
      </c>
      <c r="AQ617" s="432" t="s">
        <v>161</v>
      </c>
      <c r="AR617" s="432" t="s">
        <v>4946</v>
      </c>
      <c r="AS617" s="432" t="s">
        <v>4947</v>
      </c>
      <c r="AT617" s="432" t="s">
        <v>4947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4950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212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14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4951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4952</v>
      </c>
      <c r="AQ618" s="432" t="s">
        <v>80</v>
      </c>
      <c r="AR618" s="432" t="s">
        <v>4953</v>
      </c>
      <c r="AS618" s="432" t="s">
        <v>4954</v>
      </c>
      <c r="AT618" s="432" t="s">
        <v>4954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4955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4526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212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14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4956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4957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4952</v>
      </c>
      <c r="AQ619" s="432" t="s">
        <v>80</v>
      </c>
      <c r="AR619" s="432" t="s">
        <v>4953</v>
      </c>
      <c r="AS619" s="432" t="s">
        <v>4954</v>
      </c>
      <c r="AT619" s="432" t="s">
        <v>4954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4958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4959</v>
      </c>
      <c r="I620" s="447" t="s">
        <v>689</v>
      </c>
      <c r="J620" s="451" t="s">
        <v>4960</v>
      </c>
      <c r="K620" s="451" t="s">
        <v>4961</v>
      </c>
      <c r="L620" s="451">
        <v>1</v>
      </c>
      <c r="M620" s="451" t="s">
        <v>4962</v>
      </c>
      <c r="N620" s="452">
        <v>46153</v>
      </c>
      <c r="O620" s="451" t="s">
        <v>4526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208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15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4956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4963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4952</v>
      </c>
      <c r="AQ620" s="451" t="s">
        <v>80</v>
      </c>
      <c r="AR620" s="451" t="s">
        <v>4964</v>
      </c>
      <c r="AS620" s="471" t="s">
        <v>4965</v>
      </c>
      <c r="AT620" s="451" t="s">
        <v>4954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4966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4526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212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14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4502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4967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4968</v>
      </c>
      <c r="AQ621" s="432" t="s">
        <v>80</v>
      </c>
      <c r="AR621" s="432" t="s">
        <v>4969</v>
      </c>
      <c r="AS621" s="432" t="s">
        <v>4970</v>
      </c>
      <c r="AT621" s="432" t="s">
        <v>4970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4971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4526</v>
      </c>
      <c r="P622" s="432" t="s">
        <v>4592</v>
      </c>
      <c r="Q622" s="432" t="s">
        <v>4593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212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14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4972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4973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4968</v>
      </c>
      <c r="AQ622" s="432" t="s">
        <v>80</v>
      </c>
      <c r="AR622" s="432" t="s">
        <v>4969</v>
      </c>
      <c r="AS622" s="432" t="s">
        <v>4970</v>
      </c>
      <c r="AT622" s="432" t="s">
        <v>4970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4974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4526</v>
      </c>
      <c r="P623" s="432" t="s">
        <v>4587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212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14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4975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4976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4977</v>
      </c>
      <c r="AQ623" s="432" t="s">
        <v>80</v>
      </c>
      <c r="AR623" s="432" t="s">
        <v>4978</v>
      </c>
      <c r="AS623" s="432" t="s">
        <v>4979</v>
      </c>
      <c r="AT623" s="432" t="s">
        <v>4979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4980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4526</v>
      </c>
      <c r="P624" s="432" t="s">
        <v>4587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213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14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4975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4981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4977</v>
      </c>
      <c r="AQ624" s="432" t="s">
        <v>80</v>
      </c>
      <c r="AR624" s="432" t="s">
        <v>4982</v>
      </c>
      <c r="AS624" s="432" t="s">
        <v>4983</v>
      </c>
      <c r="AT624" s="432" t="s">
        <v>4979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4984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212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14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4985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4986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4977</v>
      </c>
      <c r="AQ625" s="446" t="s">
        <v>80</v>
      </c>
      <c r="AR625" s="432" t="s">
        <v>4982</v>
      </c>
      <c r="AS625" s="432" t="s">
        <v>4983</v>
      </c>
      <c r="AT625" s="432" t="s">
        <v>4979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4987</v>
      </c>
      <c r="B626" s="440" t="s">
        <v>61</v>
      </c>
      <c r="C626" s="440" t="s">
        <v>4897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4526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212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14">
        <v>2</v>
      </c>
      <c r="Y626" s="432" t="s">
        <v>2455</v>
      </c>
      <c r="Z626" s="431" t="str">
        <f t="shared" si="6"/>
        <v>COMPLETED</v>
      </c>
      <c r="AA626" s="432" t="s">
        <v>4868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4988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4989</v>
      </c>
      <c r="AQ626" s="432" t="s">
        <v>80</v>
      </c>
      <c r="AR626" s="432" t="s">
        <v>4990</v>
      </c>
      <c r="AS626" s="432" t="s">
        <v>4991</v>
      </c>
      <c r="AT626" s="432" t="s">
        <v>4991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4992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4526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212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14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4956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4993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4989</v>
      </c>
      <c r="AQ627" s="432" t="s">
        <v>80</v>
      </c>
      <c r="AR627" s="432" t="s">
        <v>4994</v>
      </c>
      <c r="AS627" s="432" t="s">
        <v>4995</v>
      </c>
      <c r="AT627" s="432" t="s">
        <v>4995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4996</v>
      </c>
      <c r="B628" s="440" t="s">
        <v>61</v>
      </c>
      <c r="C628" s="440" t="s">
        <v>4883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4614</v>
      </c>
      <c r="K628" s="432" t="s">
        <v>4615</v>
      </c>
      <c r="L628" s="432">
        <v>1</v>
      </c>
      <c r="M628" s="432" t="s">
        <v>840</v>
      </c>
      <c r="N628" s="462">
        <v>45809</v>
      </c>
      <c r="O628" s="432" t="s">
        <v>4526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212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14">
        <v>5</v>
      </c>
      <c r="Y628" s="432" t="s">
        <v>951</v>
      </c>
      <c r="Z628" s="431" t="str">
        <f t="shared" si="6"/>
        <v>COMPLETED</v>
      </c>
      <c r="AA628" s="432" t="s">
        <v>4884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4997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4927</v>
      </c>
      <c r="AQ628" s="432" t="s">
        <v>161</v>
      </c>
      <c r="AR628" s="432" t="s">
        <v>4998</v>
      </c>
      <c r="AS628" s="432" t="s">
        <v>4999</v>
      </c>
      <c r="AT628" s="432" t="s">
        <v>4999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5000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4526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212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14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4884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5001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v>46244.405787037038</v>
      </c>
      <c r="AO629" s="432" t="s">
        <v>402</v>
      </c>
      <c r="AP629" s="432" t="s">
        <v>4989</v>
      </c>
      <c r="AQ629" s="446" t="s">
        <v>80</v>
      </c>
      <c r="AR629" s="432" t="s">
        <v>5002</v>
      </c>
      <c r="AS629" s="432" t="s">
        <v>5003</v>
      </c>
      <c r="AT629" s="432" t="s">
        <v>5003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5004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4614</v>
      </c>
      <c r="K630" s="432" t="s">
        <v>4615</v>
      </c>
      <c r="L630" s="432">
        <v>1</v>
      </c>
      <c r="M630" s="432" t="s">
        <v>840</v>
      </c>
      <c r="N630" s="462">
        <v>45809</v>
      </c>
      <c r="O630" s="432" t="s">
        <v>4526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212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14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4884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5005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v>46240.041226851848</v>
      </c>
      <c r="AO630" s="432" t="s">
        <v>402</v>
      </c>
      <c r="AP630" s="432" t="s">
        <v>4989</v>
      </c>
      <c r="AQ630" s="446" t="s">
        <v>80</v>
      </c>
      <c r="AR630" s="432" t="s">
        <v>5006</v>
      </c>
      <c r="AS630" s="432" t="s">
        <v>5007</v>
      </c>
      <c r="AT630" s="432" t="s">
        <v>5007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5008</v>
      </c>
      <c r="B631" s="440" t="s">
        <v>61</v>
      </c>
      <c r="C631" s="440" t="s">
        <v>4883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4526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212">
        <v>936</v>
      </c>
      <c r="V631" s="445">
        <v>0.42120000000000002</v>
      </c>
      <c r="W631" s="467">
        <v>26</v>
      </c>
      <c r="X631" s="1114">
        <v>1</v>
      </c>
      <c r="Y631" s="432" t="s">
        <v>2454</v>
      </c>
      <c r="Z631" s="431" t="str">
        <f t="shared" si="7"/>
        <v>COMPLETED</v>
      </c>
      <c r="AA631" s="432" t="s">
        <v>4884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5009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v>46240.041226851848</v>
      </c>
      <c r="AO631" s="432" t="s">
        <v>402</v>
      </c>
      <c r="AP631" s="432" t="s">
        <v>4989</v>
      </c>
      <c r="AQ631" s="446" t="s">
        <v>80</v>
      </c>
      <c r="AR631" s="432" t="s">
        <v>5010</v>
      </c>
      <c r="AS631" s="432" t="s">
        <v>5011</v>
      </c>
      <c r="AT631" s="432" t="s">
        <v>5011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5012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5013</v>
      </c>
      <c r="K632" s="539"/>
      <c r="M632" s="452" t="s">
        <v>68</v>
      </c>
      <c r="N632" s="452"/>
      <c r="O632" s="451" t="s">
        <v>4526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208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15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4574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5014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4989</v>
      </c>
      <c r="AQ632" s="457" t="s">
        <v>80</v>
      </c>
      <c r="AR632" s="451" t="s">
        <v>5015</v>
      </c>
      <c r="AS632" s="451" t="s">
        <v>5016</v>
      </c>
      <c r="AT632" s="451" t="s">
        <v>5016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5017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5013</v>
      </c>
      <c r="K633" s="539"/>
      <c r="M633" s="452" t="s">
        <v>68</v>
      </c>
      <c r="N633" s="452"/>
      <c r="O633" s="451" t="s">
        <v>4526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208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15">
        <f>PV_DATA[[#This Row],[QUANTITY]]/PV_DATA[[#This Row],[Qty/CT]]</f>
        <v>1</v>
      </c>
      <c r="Y633" s="451" t="s">
        <v>2455</v>
      </c>
      <c r="Z633" s="431" t="str">
        <f t="shared" si="7"/>
        <v>COMPLETED</v>
      </c>
      <c r="AA633" s="451" t="s">
        <v>4574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5018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46275.083333333336</v>
      </c>
      <c r="AN633" s="589">
        <f>IF(VLOOKUP(AT633, Vessel!A:I, 9, FALSE)=0, "", VLOOKUP(AT633, Vessel!A:I, 9, FALSE))</f>
        <v>46275.045995370368</v>
      </c>
      <c r="AO633" s="451" t="s">
        <v>402</v>
      </c>
      <c r="AP633" s="451" t="s">
        <v>4989</v>
      </c>
      <c r="AQ633" s="457" t="s">
        <v>80</v>
      </c>
      <c r="AR633" s="451" t="s">
        <v>5019</v>
      </c>
      <c r="AS633" s="451" t="s">
        <v>5020</v>
      </c>
      <c r="AT633" s="451" t="s">
        <v>5020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46284.045995370368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5021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5022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207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10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5023</v>
      </c>
      <c r="AE634" s="431" t="s">
        <v>5023</v>
      </c>
      <c r="AF634" s="431" t="s">
        <v>122</v>
      </c>
      <c r="AG634" s="431" t="s">
        <v>123</v>
      </c>
      <c r="AH634" s="431" t="s">
        <v>5024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5025</v>
      </c>
      <c r="AQ634" s="431" t="s">
        <v>161</v>
      </c>
      <c r="AR634" s="431" t="s">
        <v>5023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5026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4526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207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10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5027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5028</v>
      </c>
      <c r="AE635" s="431"/>
      <c r="AF635" s="460" t="s">
        <v>5029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5030</v>
      </c>
      <c r="AQ635" s="431" t="s">
        <v>161</v>
      </c>
      <c r="AR635" s="431" t="s">
        <v>5031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5032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4526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207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10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5033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5034</v>
      </c>
      <c r="AE636" s="431"/>
      <c r="AF636" s="460" t="s">
        <v>5029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5030</v>
      </c>
      <c r="AQ636" s="431" t="s">
        <v>161</v>
      </c>
      <c r="AR636" s="431" t="s">
        <v>5031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5035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4586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4526</v>
      </c>
      <c r="P637" s="431" t="s">
        <v>5036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207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10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5037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5038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4937</v>
      </c>
      <c r="AQ637" s="431" t="s">
        <v>161</v>
      </c>
      <c r="AR637" s="431" t="s">
        <v>5039</v>
      </c>
      <c r="AS637" s="431" t="s">
        <v>5040</v>
      </c>
      <c r="AT637" s="431" t="s">
        <v>5040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5041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4586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4526</v>
      </c>
      <c r="P638" s="431" t="s">
        <v>5036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207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10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5042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5043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4937</v>
      </c>
      <c r="AQ638" s="431" t="s">
        <v>161</v>
      </c>
      <c r="AR638" s="431" t="s">
        <v>5039</v>
      </c>
      <c r="AS638" s="431" t="s">
        <v>5040</v>
      </c>
      <c r="AT638" s="431" t="s">
        <v>5040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5044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4586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4526</v>
      </c>
      <c r="P639" s="431" t="s">
        <v>5036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207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10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5045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5046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5047</v>
      </c>
      <c r="AQ639" s="431" t="s">
        <v>161</v>
      </c>
      <c r="AR639" s="431" t="s">
        <v>5048</v>
      </c>
      <c r="AS639" s="431" t="s">
        <v>5049</v>
      </c>
      <c r="AT639" s="431" t="s">
        <v>5049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5050</v>
      </c>
      <c r="B640" s="463" t="s">
        <v>111</v>
      </c>
      <c r="C640" s="463" t="s">
        <v>5051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4586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4526</v>
      </c>
      <c r="P640" s="431" t="s">
        <v>5052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207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10">
        <v>3</v>
      </c>
      <c r="Y640" s="431" t="s">
        <v>2456</v>
      </c>
      <c r="Z640" s="431" t="str">
        <f t="shared" si="7"/>
        <v>COMPLETED</v>
      </c>
      <c r="AA640" s="431" t="s">
        <v>5053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5054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5055</v>
      </c>
      <c r="AQ640" s="431" t="s">
        <v>80</v>
      </c>
      <c r="AR640" s="431" t="s">
        <v>5056</v>
      </c>
      <c r="AS640" s="431" t="s">
        <v>5057</v>
      </c>
      <c r="AT640" s="431" t="s">
        <v>5057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5058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4586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4526</v>
      </c>
      <c r="P641" s="431" t="s">
        <v>5052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207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10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5053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5059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v>46240.041226851848</v>
      </c>
      <c r="AO641" s="431" t="s">
        <v>402</v>
      </c>
      <c r="AP641" s="431" t="s">
        <v>5055</v>
      </c>
      <c r="AQ641" s="431" t="s">
        <v>80</v>
      </c>
      <c r="AR641" s="431" t="s">
        <v>5056</v>
      </c>
      <c r="AS641" s="431" t="s">
        <v>5057</v>
      </c>
      <c r="AT641" s="431" t="s">
        <v>5057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5060</v>
      </c>
      <c r="B642" s="463" t="s">
        <v>111</v>
      </c>
      <c r="C642" s="463" t="s">
        <v>5061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4586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4526</v>
      </c>
      <c r="P642" s="431" t="s">
        <v>4587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207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10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5062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v>46242.416134259256</v>
      </c>
      <c r="AO642" s="431" t="s">
        <v>402</v>
      </c>
      <c r="AP642" s="431" t="s">
        <v>5063</v>
      </c>
      <c r="AQ642" s="431" t="s">
        <v>80</v>
      </c>
      <c r="AR642" s="431" t="s">
        <v>5064</v>
      </c>
      <c r="AS642" s="431" t="s">
        <v>5065</v>
      </c>
      <c r="AT642" s="431" t="s">
        <v>5065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5066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4586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4526</v>
      </c>
      <c r="P643" s="431" t="s">
        <v>4587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207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10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5067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>
        <v>46249.489212962966</v>
      </c>
      <c r="AO643" s="431" t="s">
        <v>402</v>
      </c>
      <c r="AP643" s="431" t="s">
        <v>5068</v>
      </c>
      <c r="AQ643" s="431" t="s">
        <v>80</v>
      </c>
      <c r="AR643" s="431" t="s">
        <v>5069</v>
      </c>
      <c r="AS643" s="431" t="s">
        <v>5070</v>
      </c>
      <c r="AT643" s="431" t="s">
        <v>5070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5071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4526</v>
      </c>
      <c r="P644" s="431" t="s">
        <v>4592</v>
      </c>
      <c r="Q644" s="431" t="s">
        <v>4593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207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10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4972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5072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v>46242.239039351851</v>
      </c>
      <c r="AO644" s="431" t="s">
        <v>402</v>
      </c>
      <c r="AP644" s="431" t="s">
        <v>5073</v>
      </c>
      <c r="AQ644" s="431" t="s">
        <v>80</v>
      </c>
      <c r="AR644" s="431" t="s">
        <v>5074</v>
      </c>
      <c r="AS644" s="431" t="s">
        <v>5075</v>
      </c>
      <c r="AT644" s="431" t="s">
        <v>5075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5076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4526</v>
      </c>
      <c r="P645" s="431" t="s">
        <v>4592</v>
      </c>
      <c r="Q645" s="431" t="s">
        <v>4593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207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10">
        <v>3</v>
      </c>
      <c r="Y645" s="431" t="s">
        <v>2455</v>
      </c>
      <c r="Z645" s="431" t="str">
        <f t="shared" si="7"/>
        <v>COMPLETED</v>
      </c>
      <c r="AA645" s="547" t="s">
        <v>5077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5078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v>46242.239039351851</v>
      </c>
      <c r="AO645" s="431" t="s">
        <v>402</v>
      </c>
      <c r="AP645" s="431" t="s">
        <v>5073</v>
      </c>
      <c r="AQ645" s="431" t="s">
        <v>80</v>
      </c>
      <c r="AR645" s="431" t="s">
        <v>5074</v>
      </c>
      <c r="AS645" s="431" t="s">
        <v>5075</v>
      </c>
      <c r="AT645" s="431" t="s">
        <v>5075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5079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4526</v>
      </c>
      <c r="P646" s="431" t="s">
        <v>4592</v>
      </c>
      <c r="Q646" s="431" t="s">
        <v>4593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207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10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5077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5080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v>46259.238761574074</v>
      </c>
      <c r="AO646" s="431" t="s">
        <v>402</v>
      </c>
      <c r="AP646" s="431" t="s">
        <v>5081</v>
      </c>
      <c r="AQ646" s="431" t="s">
        <v>80</v>
      </c>
      <c r="AR646" s="431" t="s">
        <v>5082</v>
      </c>
      <c r="AS646" s="431" t="s">
        <v>5083</v>
      </c>
      <c r="AT646" s="431" t="s">
        <v>5083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5084</v>
      </c>
      <c r="B647" s="463" t="s">
        <v>4916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0"/>
      <c r="L647" s="431"/>
      <c r="M647" s="431" t="s">
        <v>68</v>
      </c>
      <c r="N647" s="433">
        <v>46188</v>
      </c>
      <c r="O647" s="431" t="s">
        <v>4526</v>
      </c>
      <c r="P647" s="431" t="s">
        <v>5085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207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10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5086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5087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v>46259.238761574074</v>
      </c>
      <c r="AO647" s="431" t="s">
        <v>402</v>
      </c>
      <c r="AP647" s="431" t="s">
        <v>5081</v>
      </c>
      <c r="AQ647" s="431" t="s">
        <v>80</v>
      </c>
      <c r="AR647" s="431" t="s">
        <v>5088</v>
      </c>
      <c r="AS647" s="431" t="s">
        <v>5089</v>
      </c>
      <c r="AT647" s="431" t="s">
        <v>5089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5090</v>
      </c>
      <c r="B648" s="463" t="s">
        <v>5091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4526</v>
      </c>
      <c r="P648" s="431" t="s">
        <v>5085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207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10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5092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5093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v>46259.238761574074</v>
      </c>
      <c r="AO648" s="431" t="s">
        <v>402</v>
      </c>
      <c r="AP648" s="431" t="s">
        <v>5081</v>
      </c>
      <c r="AQ648" s="431" t="s">
        <v>80</v>
      </c>
      <c r="AR648" s="431" t="s">
        <v>5088</v>
      </c>
      <c r="AS648" s="431" t="s">
        <v>5089</v>
      </c>
      <c r="AT648" s="431" t="s">
        <v>5089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5094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207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10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5033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5095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v>46259.238761574074</v>
      </c>
      <c r="AO649" s="431" t="s">
        <v>402</v>
      </c>
      <c r="AP649" s="431" t="s">
        <v>5081</v>
      </c>
      <c r="AQ649" s="431" t="s">
        <v>80</v>
      </c>
      <c r="AR649" s="431" t="s">
        <v>5088</v>
      </c>
      <c r="AS649" s="431" t="s">
        <v>5089</v>
      </c>
      <c r="AT649" s="431" t="s">
        <v>5089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5096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4526</v>
      </c>
      <c r="P650" s="431" t="s">
        <v>5097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207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10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5033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5098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v>46259.238761574074</v>
      </c>
      <c r="AO650" s="431" t="s">
        <v>402</v>
      </c>
      <c r="AP650" s="431" t="s">
        <v>5081</v>
      </c>
      <c r="AQ650" s="431" t="s">
        <v>80</v>
      </c>
      <c r="AR650" s="431" t="s">
        <v>5099</v>
      </c>
      <c r="AS650" s="431" t="s">
        <v>5100</v>
      </c>
      <c r="AT650" s="431" t="s">
        <v>5100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5101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207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10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5102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5103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v>46259.238761574074</v>
      </c>
      <c r="AO651" s="431" t="s">
        <v>402</v>
      </c>
      <c r="AP651" s="431" t="s">
        <v>5081</v>
      </c>
      <c r="AQ651" s="431" t="s">
        <v>80</v>
      </c>
      <c r="AR651" s="431" t="s">
        <v>5104</v>
      </c>
      <c r="AS651" s="431" t="s">
        <v>5105</v>
      </c>
      <c r="AT651" s="431" t="s">
        <v>5105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5106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4526</v>
      </c>
      <c r="P652" s="431" t="s">
        <v>4587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207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10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4975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5107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5108</v>
      </c>
      <c r="AQ652" s="439" t="s">
        <v>80</v>
      </c>
      <c r="AR652" s="431" t="s">
        <v>5109</v>
      </c>
      <c r="AS652" s="431" t="s">
        <v>5110</v>
      </c>
      <c r="AT652" s="431" t="s">
        <v>5110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5111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207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10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5112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5113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5108</v>
      </c>
      <c r="AQ653" s="439" t="s">
        <v>80</v>
      </c>
      <c r="AR653" s="431" t="s">
        <v>5109</v>
      </c>
      <c r="AS653" s="431" t="s">
        <v>5110</v>
      </c>
      <c r="AT653" s="431" t="s">
        <v>5110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5114</v>
      </c>
      <c r="B654" s="463" t="s">
        <v>61</v>
      </c>
      <c r="C654" s="463" t="s">
        <v>4883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4526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207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10">
        <v>1</v>
      </c>
      <c r="Y654" s="431" t="s">
        <v>2454</v>
      </c>
      <c r="Z654" s="431" t="str">
        <f t="shared" si="7"/>
        <v>COMPLETED</v>
      </c>
      <c r="AA654" s="431" t="s">
        <v>4884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5115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5116</v>
      </c>
      <c r="AQ654" s="431" t="s">
        <v>80</v>
      </c>
      <c r="AR654" s="431" t="s">
        <v>5117</v>
      </c>
      <c r="AS654" s="431" t="s">
        <v>5118</v>
      </c>
      <c r="AT654" s="431" t="s">
        <v>5118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5119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4526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207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10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5120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5121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v>46244.348958333336</v>
      </c>
      <c r="AO655" s="431" t="s">
        <v>402</v>
      </c>
      <c r="AP655" s="431" t="s">
        <v>5116</v>
      </c>
      <c r="AQ655" s="431" t="s">
        <v>80</v>
      </c>
      <c r="AR655" s="431" t="s">
        <v>5122</v>
      </c>
      <c r="AS655" s="431" t="s">
        <v>5123</v>
      </c>
      <c r="AT655" s="431" t="s">
        <v>5123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5124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207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10">
        <f>PV_DATA[[#This Row],[QUANTITY]]/PV_DATA[[#This Row],[Qty/CT]]</f>
        <v>4</v>
      </c>
      <c r="Y656" s="431" t="s">
        <v>2456</v>
      </c>
      <c r="Z656" s="431" t="str">
        <f t="shared" si="7"/>
        <v>COMPLETED</v>
      </c>
      <c r="AA656" s="431" t="s">
        <v>4985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5125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2">
        <v>46265</v>
      </c>
      <c r="AM656" s="1378">
        <f>IFERROR(VLOOKUP(AT656, Vessel!A:H, 8, FALSE), "")</f>
        <v>46278.083333333336</v>
      </c>
      <c r="AN656" s="588">
        <f>IF(VLOOKUP(AT656, Vessel!A:I, 9, FALSE)=0, "", VLOOKUP(AT656, Vessel!A:I, 9, FALSE))</f>
        <v>46278.186840277776</v>
      </c>
      <c r="AO656" s="431" t="s">
        <v>402</v>
      </c>
      <c r="AP656" s="431" t="s">
        <v>5116</v>
      </c>
      <c r="AQ656" s="431" t="s">
        <v>80</v>
      </c>
      <c r="AR656" s="431" t="s">
        <v>5126</v>
      </c>
      <c r="AS656" s="431" t="s">
        <v>5127</v>
      </c>
      <c r="AT656" s="431" t="s">
        <v>5127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46286.186840277776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39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5128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207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10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4985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5129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5116</v>
      </c>
      <c r="AQ657" s="431" t="s">
        <v>80</v>
      </c>
      <c r="AR657" s="431" t="s">
        <v>5130</v>
      </c>
      <c r="AS657" s="431" t="s">
        <v>5131</v>
      </c>
      <c r="AT657" s="431" t="s">
        <v>5131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5132</v>
      </c>
      <c r="B658" s="463" t="s">
        <v>61</v>
      </c>
      <c r="C658" s="463" t="s">
        <v>5133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4526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207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10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5134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5116</v>
      </c>
      <c r="AQ658" s="431" t="s">
        <v>80</v>
      </c>
      <c r="AR658" s="431" t="s">
        <v>5135</v>
      </c>
      <c r="AS658" s="431" t="s">
        <v>5136</v>
      </c>
      <c r="AT658" s="431" t="s">
        <v>5136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5137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4526</v>
      </c>
      <c r="P659" s="431" t="s">
        <v>5097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207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10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5138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5116</v>
      </c>
      <c r="AQ659" s="431" t="s">
        <v>80</v>
      </c>
      <c r="AR659" s="431" t="s">
        <v>5139</v>
      </c>
      <c r="AS659" s="431" t="s">
        <v>5140</v>
      </c>
      <c r="AT659" s="431" t="s">
        <v>5140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5141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5142</v>
      </c>
      <c r="K660" s="431" t="s">
        <v>4874</v>
      </c>
      <c r="L660" s="431">
        <v>2</v>
      </c>
      <c r="M660" s="431" t="s">
        <v>840</v>
      </c>
      <c r="N660" s="433">
        <v>46195</v>
      </c>
      <c r="O660" s="431" t="s">
        <v>4526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207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10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5143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5144</v>
      </c>
      <c r="AE660" s="431"/>
      <c r="AF660" s="460" t="s">
        <v>5145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5146</v>
      </c>
      <c r="AQ660" s="431" t="s">
        <v>161</v>
      </c>
      <c r="AR660" s="431" t="s">
        <v>5147</v>
      </c>
      <c r="AS660" s="431" t="s">
        <v>5148</v>
      </c>
      <c r="AT660" s="431" t="s">
        <v>5149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5150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5151</v>
      </c>
      <c r="K661" s="431" t="s">
        <v>4874</v>
      </c>
      <c r="L661" s="431">
        <v>3</v>
      </c>
      <c r="M661" s="431" t="s">
        <v>840</v>
      </c>
      <c r="N661" s="433">
        <v>46195</v>
      </c>
      <c r="O661" s="431" t="s">
        <v>4526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207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10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5143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5152</v>
      </c>
      <c r="AE661" s="431"/>
      <c r="AF661" s="460" t="s">
        <v>5145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5153</v>
      </c>
      <c r="AQ661" s="431" t="s">
        <v>161</v>
      </c>
      <c r="AR661" s="431" t="s">
        <v>5154</v>
      </c>
      <c r="AS661" s="431" t="s">
        <v>5155</v>
      </c>
      <c r="AT661" s="431" t="s">
        <v>5156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5157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4526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207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10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5143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5158</v>
      </c>
      <c r="AE662" s="431"/>
      <c r="AF662" s="460" t="s">
        <v>5029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>
        <v>46256.481874999998</v>
      </c>
      <c r="AP662" s="431" t="s">
        <v>5159</v>
      </c>
      <c r="AQ662" s="439" t="s">
        <v>80</v>
      </c>
      <c r="AR662" s="431" t="s">
        <v>5160</v>
      </c>
      <c r="AS662" s="431" t="s">
        <v>5161</v>
      </c>
      <c r="AT662" s="431" t="s">
        <v>5161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5162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207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10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5163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5164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>
        <v>46256.481874999998</v>
      </c>
      <c r="AP663" s="431" t="s">
        <v>5159</v>
      </c>
      <c r="AQ663" s="439" t="s">
        <v>80</v>
      </c>
      <c r="AR663" s="431" t="s">
        <v>5165</v>
      </c>
      <c r="AS663" s="431" t="s">
        <v>5166</v>
      </c>
      <c r="AT663" s="431" t="s">
        <v>5166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5167</v>
      </c>
      <c r="B664" s="463" t="s">
        <v>111</v>
      </c>
      <c r="C664" s="463" t="s">
        <v>5168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4586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4526</v>
      </c>
      <c r="P664" s="431" t="s">
        <v>5036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207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10">
        <v>1</v>
      </c>
      <c r="Y664" s="431" t="s">
        <v>2455</v>
      </c>
      <c r="Z664" s="431" t="str">
        <f t="shared" si="7"/>
        <v>COMPLETED</v>
      </c>
      <c r="AA664" s="431" t="s">
        <v>5033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5169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v>46244.348958333336</v>
      </c>
      <c r="AP664" s="431" t="s">
        <v>5116</v>
      </c>
      <c r="AQ664" s="439" t="s">
        <v>80</v>
      </c>
      <c r="AR664" s="431" t="s">
        <v>5170</v>
      </c>
      <c r="AS664" s="431" t="s">
        <v>5171</v>
      </c>
      <c r="AT664" s="431" t="s">
        <v>5171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5172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4586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4526</v>
      </c>
      <c r="P665" s="431" t="s">
        <v>5036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207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10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5033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5173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v>46244.348958333336</v>
      </c>
      <c r="AP665" s="431" t="s">
        <v>5116</v>
      </c>
      <c r="AQ665" s="439" t="s">
        <v>80</v>
      </c>
      <c r="AR665" s="431" t="s">
        <v>5170</v>
      </c>
      <c r="AS665" s="431" t="s">
        <v>5171</v>
      </c>
      <c r="AT665" s="431" t="s">
        <v>5171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5174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4586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4526</v>
      </c>
      <c r="P666" s="431" t="s">
        <v>5052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207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10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5053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5175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5176</v>
      </c>
      <c r="AQ666" s="439" t="s">
        <v>80</v>
      </c>
      <c r="AR666" s="431" t="s">
        <v>5177</v>
      </c>
      <c r="AS666" s="431" t="s">
        <v>5178</v>
      </c>
      <c r="AT666" s="431" t="s">
        <v>5178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5179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4586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4526</v>
      </c>
      <c r="P667" s="431" t="s">
        <v>5052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207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10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5053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5180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v>46244.348958333336</v>
      </c>
      <c r="AP667" s="431" t="s">
        <v>5159</v>
      </c>
      <c r="AQ667" s="439" t="s">
        <v>80</v>
      </c>
      <c r="AR667" s="431" t="s">
        <v>5181</v>
      </c>
      <c r="AS667" s="431" t="s">
        <v>5182</v>
      </c>
      <c r="AT667" s="431" t="s">
        <v>5182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5183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4586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4526</v>
      </c>
      <c r="P668" s="431" t="s">
        <v>5052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207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10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5053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5184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v>46244.348958333336</v>
      </c>
      <c r="AP668" s="431" t="s">
        <v>5159</v>
      </c>
      <c r="AQ668" s="439" t="s">
        <v>80</v>
      </c>
      <c r="AR668" s="431" t="s">
        <v>5181</v>
      </c>
      <c r="AS668" s="431" t="s">
        <v>5182</v>
      </c>
      <c r="AT668" s="431" t="s">
        <v>5182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5185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4586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4526</v>
      </c>
      <c r="P669" s="431" t="s">
        <v>5036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207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10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5033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5186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v>46244.348958333336</v>
      </c>
      <c r="AP669" s="431" t="s">
        <v>5116</v>
      </c>
      <c r="AQ669" s="431" t="s">
        <v>80</v>
      </c>
      <c r="AR669" s="431" t="s">
        <v>5187</v>
      </c>
      <c r="AS669" s="431" t="s">
        <v>5188</v>
      </c>
      <c r="AT669" s="431" t="s">
        <v>5188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5189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207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10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5190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5191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v>46253.474305555559</v>
      </c>
      <c r="AP670" s="431" t="s">
        <v>5192</v>
      </c>
      <c r="AQ670" s="439" t="s">
        <v>80</v>
      </c>
      <c r="AR670" s="431" t="s">
        <v>5193</v>
      </c>
      <c r="AS670" s="431" t="s">
        <v>5194</v>
      </c>
      <c r="AT670" s="431" t="s">
        <v>5194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5195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207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10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5033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5196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v>46253.474305555559</v>
      </c>
      <c r="AP671" s="431" t="s">
        <v>5192</v>
      </c>
      <c r="AQ671" s="439" t="s">
        <v>80</v>
      </c>
      <c r="AR671" s="431" t="s">
        <v>5193</v>
      </c>
      <c r="AS671" s="431" t="s">
        <v>5194</v>
      </c>
      <c r="AT671" s="431" t="s">
        <v>5194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5197</v>
      </c>
      <c r="B672" s="463" t="s">
        <v>5198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4526</v>
      </c>
      <c r="P672" s="431" t="s">
        <v>5085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207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10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5199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5200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5201</v>
      </c>
      <c r="AQ672" s="439" t="s">
        <v>80</v>
      </c>
      <c r="AR672" s="431" t="s">
        <v>5202</v>
      </c>
      <c r="AS672" s="431" t="s">
        <v>5203</v>
      </c>
      <c r="AT672" s="431" t="s">
        <v>5203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5204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207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10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5199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5205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2">
        <v>46258</v>
      </c>
      <c r="AM673" s="1378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5206</v>
      </c>
      <c r="AQ673" s="439" t="s">
        <v>80</v>
      </c>
      <c r="AR673" s="431" t="s">
        <v>5202</v>
      </c>
      <c r="AS673" s="431" t="s">
        <v>5203</v>
      </c>
      <c r="AT673" s="431" t="s">
        <v>5203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5207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4526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207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10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5143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5208</v>
      </c>
      <c r="AE674" s="431"/>
      <c r="AF674" s="460" t="s">
        <v>5029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5206</v>
      </c>
      <c r="AQ674" s="439" t="s">
        <v>80</v>
      </c>
      <c r="AR674" s="431" t="s">
        <v>5209</v>
      </c>
      <c r="AS674" s="431" t="s">
        <v>5210</v>
      </c>
      <c r="AT674" s="431" t="s">
        <v>5210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5211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4526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207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10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5143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5212</v>
      </c>
      <c r="AE675" s="431"/>
      <c r="AF675" s="460" t="s">
        <v>5029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5206</v>
      </c>
      <c r="AQ675" s="439" t="s">
        <v>80</v>
      </c>
      <c r="AR675" s="431" t="s">
        <v>5209</v>
      </c>
      <c r="AS675" s="431" t="s">
        <v>5210</v>
      </c>
      <c r="AT675" s="431" t="s">
        <v>5210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5213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4526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207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10">
        <v>3</v>
      </c>
      <c r="Y676" s="460" t="s">
        <v>2457</v>
      </c>
      <c r="Z676" s="431" t="str">
        <f t="shared" si="7"/>
        <v>COMPLETED</v>
      </c>
      <c r="AA676" s="431" t="s">
        <v>5143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5214</v>
      </c>
      <c r="AE676" s="431"/>
      <c r="AF676" s="460" t="s">
        <v>5029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5206</v>
      </c>
      <c r="AQ676" s="439" t="s">
        <v>80</v>
      </c>
      <c r="AR676" s="431" t="s">
        <v>5215</v>
      </c>
      <c r="AS676" s="431" t="s">
        <v>5216</v>
      </c>
      <c r="AT676" s="431" t="s">
        <v>5216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5217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4526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207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10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5218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5219</v>
      </c>
      <c r="AE677" s="431"/>
      <c r="AF677" s="460" t="s">
        <v>5029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5206</v>
      </c>
      <c r="AQ677" s="439" t="s">
        <v>80</v>
      </c>
      <c r="AR677" s="431" t="s">
        <v>5215</v>
      </c>
      <c r="AS677" s="431" t="s">
        <v>5216</v>
      </c>
      <c r="AT677" s="431" t="s">
        <v>5216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5220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4526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207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10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5221</v>
      </c>
      <c r="AE678" s="431"/>
      <c r="AF678" s="460" t="s">
        <v>5029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5206</v>
      </c>
      <c r="AQ678" s="439" t="s">
        <v>80</v>
      </c>
      <c r="AR678" s="431" t="s">
        <v>5215</v>
      </c>
      <c r="AS678" s="431" t="s">
        <v>5216</v>
      </c>
      <c r="AT678" s="431" t="s">
        <v>5216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5222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207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201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5218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5223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5224</v>
      </c>
      <c r="AQ679" s="431" t="s">
        <v>80</v>
      </c>
      <c r="AR679" s="431" t="s">
        <v>5225</v>
      </c>
      <c r="AS679" s="431" t="s">
        <v>5226</v>
      </c>
      <c r="AT679" s="431" t="s">
        <v>5226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5227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207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201">
        <v>0.82</v>
      </c>
      <c r="Y680" s="460" t="s">
        <v>2457</v>
      </c>
      <c r="Z680" s="431" t="str">
        <f t="shared" si="7"/>
        <v>COMPLETED</v>
      </c>
      <c r="AA680" s="431" t="s">
        <v>5218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5228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5224</v>
      </c>
      <c r="AQ680" s="431" t="s">
        <v>80</v>
      </c>
      <c r="AR680" s="431" t="s">
        <v>5225</v>
      </c>
      <c r="AS680" s="431" t="s">
        <v>5226</v>
      </c>
      <c r="AT680" s="431" t="s">
        <v>5226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5229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4526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207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201">
        <v>0.25</v>
      </c>
      <c r="Y681" s="460" t="s">
        <v>2457</v>
      </c>
      <c r="Z681" s="431" t="str">
        <f t="shared" si="7"/>
        <v>COMPLETED</v>
      </c>
      <c r="AA681" s="431" t="s">
        <v>5218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5230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5224</v>
      </c>
      <c r="AQ681" s="431" t="s">
        <v>80</v>
      </c>
      <c r="AR681" s="431" t="s">
        <v>5225</v>
      </c>
      <c r="AS681" s="431" t="s">
        <v>5226</v>
      </c>
      <c r="AT681" s="431" t="s">
        <v>5226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5231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207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10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5218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5232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2">
        <v>46257</v>
      </c>
      <c r="AM682" s="1378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5224</v>
      </c>
      <c r="AQ682" s="439" t="s">
        <v>80</v>
      </c>
      <c r="AR682" s="431" t="s">
        <v>5233</v>
      </c>
      <c r="AS682" s="431" t="s">
        <v>5234</v>
      </c>
      <c r="AT682" s="431" t="s">
        <v>5234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5235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207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10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5112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5236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5224</v>
      </c>
      <c r="AQ683" s="439" t="s">
        <v>80</v>
      </c>
      <c r="AR683" s="431" t="s">
        <v>5233</v>
      </c>
      <c r="AS683" s="431" t="s">
        <v>5234</v>
      </c>
      <c r="AT683" s="431" t="s">
        <v>5234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5237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4526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207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10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5238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5224</v>
      </c>
      <c r="AQ684" s="431" t="s">
        <v>80</v>
      </c>
      <c r="AR684" s="431" t="s">
        <v>5239</v>
      </c>
      <c r="AS684" s="431" t="s">
        <v>5240</v>
      </c>
      <c r="AT684" s="431" t="s">
        <v>5240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5241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4526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207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10">
        <f>PV_DATA[[#This Row],[QUANTITY]]/PV_DATA[[#This Row],[Qty/CT]]</f>
        <v>1</v>
      </c>
      <c r="Y685" s="431" t="s">
        <v>2457</v>
      </c>
      <c r="Z685" s="431" t="str">
        <f t="shared" si="7"/>
        <v>COMPLETED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5242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>
        <f>IF(VLOOKUP(AT685, Vessel!A:I, 9, FALSE)=0, "", VLOOKUP(AT685, Vessel!A:I, 9, FALSE))</f>
        <v>46275.245208333334</v>
      </c>
      <c r="AP685" s="431" t="s">
        <v>5224</v>
      </c>
      <c r="AQ685" s="431" t="s">
        <v>80</v>
      </c>
      <c r="AR685" s="431" t="s">
        <v>5243</v>
      </c>
      <c r="AS685" s="431" t="s">
        <v>5244</v>
      </c>
      <c r="AT685" s="431" t="s">
        <v>5244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46285.245208333334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5245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4526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207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10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4884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5246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5247</v>
      </c>
      <c r="AQ686" s="431" t="s">
        <v>80</v>
      </c>
      <c r="AR686" s="431" t="s">
        <v>5248</v>
      </c>
      <c r="AS686" s="431" t="s">
        <v>5249</v>
      </c>
      <c r="AT686" s="431" t="s">
        <v>5249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5250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4526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207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10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5045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5251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5247</v>
      </c>
      <c r="AQ687" s="431" t="s">
        <v>80</v>
      </c>
      <c r="AR687" s="431" t="s">
        <v>5248</v>
      </c>
      <c r="AS687" s="431" t="s">
        <v>5249</v>
      </c>
      <c r="AT687" s="431" t="s">
        <v>5249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5252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5253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207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10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5045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5254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46291.166666666664</v>
      </c>
      <c r="AN688" s="588" t="str">
        <f>IF(VLOOKUP(AT688, Vessel!A:I, 9, FALSE)=0, "", VLOOKUP(AT688, Vessel!A:I, 9, FALSE))</f>
        <v/>
      </c>
      <c r="AP688" s="431" t="s">
        <v>5247</v>
      </c>
      <c r="AQ688" s="431" t="s">
        <v>80</v>
      </c>
      <c r="AR688" s="431" t="s">
        <v>5255</v>
      </c>
      <c r="AS688" s="431" t="s">
        <v>5256</v>
      </c>
      <c r="AT688" s="431" t="s">
        <v>5256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89.166666666664241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46291.166666666664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46298.166666666664</v>
      </c>
      <c r="BB688" s="434">
        <f>YEAR(PV_DATA[[#This Row],[ETA for New Ark update]])</f>
        <v>2026</v>
      </c>
      <c r="BC688" s="431">
        <f>MONTH(PV_DATA[[#This Row],[ETA for New Ark update]])</f>
        <v>10</v>
      </c>
      <c r="BD688" s="431">
        <f>IFERROR(_xlfn.ISOWEEKNUM(PV_DATA[[#This Row],[ETA for New Ark update]]),0)</f>
        <v>40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5257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4526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207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10">
        <f>PV_DATA[[#This Row],[QUANTITY]]/PV_DATA[[#This Row],[Qty/CT]]</f>
        <v>1</v>
      </c>
      <c r="Y689" s="431" t="s">
        <v>2457</v>
      </c>
      <c r="Z689" s="431" t="str">
        <f t="shared" si="7"/>
        <v>COMPLETED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5258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46274.999305555553</v>
      </c>
      <c r="AN689" s="588">
        <f>IF(VLOOKUP(AT689, Vessel!A:I, 9, FALSE)=0, "", VLOOKUP(AT689, Vessel!A:I, 9, FALSE))</f>
        <v>46275.009525462963</v>
      </c>
      <c r="AP689" s="431" t="s">
        <v>5247</v>
      </c>
      <c r="AQ689" s="431" t="s">
        <v>80</v>
      </c>
      <c r="AR689" s="431" t="s">
        <v>5259</v>
      </c>
      <c r="AS689" s="431" t="s">
        <v>5260</v>
      </c>
      <c r="AT689" s="431" t="s">
        <v>5260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46282.009525462963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5261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5262</v>
      </c>
      <c r="I690" s="463" t="s">
        <v>689</v>
      </c>
      <c r="J690" s="431" t="s">
        <v>5263</v>
      </c>
      <c r="K690" s="431" t="s">
        <v>5264</v>
      </c>
      <c r="L690" s="431"/>
      <c r="M690" s="431" t="s">
        <v>4962</v>
      </c>
      <c r="N690" s="433">
        <v>46167</v>
      </c>
      <c r="O690" s="431" t="s">
        <v>4526</v>
      </c>
      <c r="P690" s="431" t="s">
        <v>4587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207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10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5265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5266</v>
      </c>
      <c r="AE690" s="431"/>
      <c r="AF690" s="431" t="s">
        <v>1525</v>
      </c>
      <c r="AG690" s="431" t="s">
        <v>123</v>
      </c>
      <c r="AH690" s="431" t="s">
        <v>5267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5268</v>
      </c>
      <c r="AQ690" s="431" t="s">
        <v>161</v>
      </c>
      <c r="AR690" s="431" t="s">
        <v>5269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5270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5151</v>
      </c>
      <c r="K691" s="431" t="s">
        <v>4874</v>
      </c>
      <c r="L691" s="431">
        <v>4</v>
      </c>
      <c r="M691" s="431" t="s">
        <v>840</v>
      </c>
      <c r="N691" s="433">
        <v>46195</v>
      </c>
      <c r="O691" s="431" t="s">
        <v>4526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207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10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5271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5272</v>
      </c>
      <c r="AE691" s="436"/>
      <c r="AF691" s="460" t="s">
        <v>5029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5273</v>
      </c>
      <c r="AQ691" s="431" t="s">
        <v>80</v>
      </c>
      <c r="AR691" s="431" t="s">
        <v>5274</v>
      </c>
      <c r="AS691" s="431" t="s">
        <v>5275</v>
      </c>
      <c r="AT691" s="431" t="s">
        <v>5275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5276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4586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4526</v>
      </c>
      <c r="P692" s="431" t="s">
        <v>5036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207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10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5277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5247</v>
      </c>
      <c r="AQ692" s="431" t="s">
        <v>80</v>
      </c>
      <c r="AR692" s="431" t="s">
        <v>5278</v>
      </c>
      <c r="AS692" s="431" t="s">
        <v>5279</v>
      </c>
      <c r="AT692" s="431" t="s">
        <v>5279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5280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4586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4526</v>
      </c>
      <c r="P693" s="431" t="s">
        <v>5052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207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10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5053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5281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5247</v>
      </c>
      <c r="AQ693" s="431" t="s">
        <v>80</v>
      </c>
      <c r="AR693" s="431" t="s">
        <v>5278</v>
      </c>
      <c r="AS693" s="431" t="s">
        <v>5279</v>
      </c>
      <c r="AT693" s="431" t="s">
        <v>5279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5282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4586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4526</v>
      </c>
      <c r="P694" s="431" t="s">
        <v>5036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207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10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5033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5283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5284</v>
      </c>
      <c r="AQ694" s="431" t="s">
        <v>80</v>
      </c>
      <c r="AR694" s="431" t="s">
        <v>5285</v>
      </c>
      <c r="AS694" s="431" t="s">
        <v>5286</v>
      </c>
      <c r="AT694" s="431" t="s">
        <v>5286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5287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4586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4526</v>
      </c>
      <c r="P695" s="431" t="s">
        <v>5036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207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10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5288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5289</v>
      </c>
      <c r="AQ695" s="431" t="s">
        <v>80</v>
      </c>
      <c r="AR695" s="431" t="s">
        <v>5290</v>
      </c>
      <c r="AS695" s="431" t="s">
        <v>5291</v>
      </c>
      <c r="AT695" s="431" t="s">
        <v>5291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5292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207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10">
        <f>PV_DATA[[#This Row],[QUANTITY]]/PV_DATA[[#This Row],[Qty/CT]]</f>
        <v>2</v>
      </c>
      <c r="Y696" s="431" t="s">
        <v>2458</v>
      </c>
      <c r="Z696" s="431" t="str">
        <f t="shared" si="8"/>
        <v>COMPLETED</v>
      </c>
      <c r="AA696" s="431" t="s">
        <v>5293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5294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2">
        <v>46260</v>
      </c>
      <c r="AM696" s="1378">
        <f>IFERROR(VLOOKUP(AT696, Vessel!A:H, 8, FALSE), "")</f>
        <v>46274.333333333336</v>
      </c>
      <c r="AN696" s="588">
        <f>IF(VLOOKUP(AT696, Vessel!A:I, 9, FALSE)=0, "", VLOOKUP(AT696, Vessel!A:I, 9, FALSE))</f>
        <v>46274.416041666664</v>
      </c>
      <c r="AP696" s="431" t="s">
        <v>5295</v>
      </c>
      <c r="AQ696" s="431" t="s">
        <v>80</v>
      </c>
      <c r="AR696" s="431" t="s">
        <v>5296</v>
      </c>
      <c r="AS696" s="431" t="s">
        <v>5297</v>
      </c>
      <c r="AT696" s="431" t="s">
        <v>5297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46284.416041666664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5298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207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10">
        <f>PV_DATA[[#This Row],[QUANTITY]]/PV_DATA[[#This Row],[Qty/CT]]</f>
        <v>3</v>
      </c>
      <c r="Y697" s="431" t="s">
        <v>2458</v>
      </c>
      <c r="Z697" s="431" t="str">
        <f t="shared" si="8"/>
        <v>COMPLETED</v>
      </c>
      <c r="AA697" s="431" t="s">
        <v>5299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5300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2">
        <v>46260</v>
      </c>
      <c r="AM697" s="1378">
        <f>IFERROR(VLOOKUP(AT697, Vessel!A:H, 8, FALSE), "")</f>
        <v>46274.333333333336</v>
      </c>
      <c r="AN697" s="588">
        <f>IF(VLOOKUP(AT697, Vessel!A:I, 9, FALSE)=0, "", VLOOKUP(AT697, Vessel!A:I, 9, FALSE))</f>
        <v>46274.416041666664</v>
      </c>
      <c r="AP697" s="431" t="s">
        <v>5295</v>
      </c>
      <c r="AQ697" s="431" t="s">
        <v>80</v>
      </c>
      <c r="AR697" s="431" t="s">
        <v>5296</v>
      </c>
      <c r="AS697" s="431" t="s">
        <v>5297</v>
      </c>
      <c r="AT697" s="431" t="s">
        <v>5297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46284.416041666664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5301</v>
      </c>
      <c r="B698" s="463" t="s">
        <v>5198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4526</v>
      </c>
      <c r="P698" s="431" t="s">
        <v>5097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207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10">
        <f>PV_DATA[[#This Row],[QUANTITY]]/PV_DATA[[#This Row],[Qty/CT]]</f>
        <v>6</v>
      </c>
      <c r="Y698" s="431" t="s">
        <v>2458</v>
      </c>
      <c r="Z698" s="431" t="str">
        <f t="shared" si="8"/>
        <v>COMPLETED</v>
      </c>
      <c r="AA698" s="431" t="s">
        <v>5302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5303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46278.083333333336</v>
      </c>
      <c r="AN698" s="588">
        <f>IF(VLOOKUP(AT698, Vessel!A:I, 9, FALSE)=0, "", VLOOKUP(AT698, Vessel!A:I, 9, FALSE))</f>
        <v>46278.186840277776</v>
      </c>
      <c r="AP698" s="431" t="s">
        <v>5295</v>
      </c>
      <c r="AQ698" s="431" t="s">
        <v>80</v>
      </c>
      <c r="AR698" s="431" t="s">
        <v>5304</v>
      </c>
      <c r="AS698" s="431" t="s">
        <v>5305</v>
      </c>
      <c r="AT698" s="431" t="s">
        <v>5305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46286.186840277776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39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5306</v>
      </c>
      <c r="B699" s="463" t="s">
        <v>5198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4526</v>
      </c>
      <c r="P699" s="431" t="s">
        <v>5097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207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10">
        <f>PV_DATA[[#This Row],[QUANTITY]]/PV_DATA[[#This Row],[Qty/CT]]</f>
        <v>4</v>
      </c>
      <c r="Y699" s="431" t="s">
        <v>2457</v>
      </c>
      <c r="Z699" s="431" t="str">
        <f t="shared" si="8"/>
        <v>COMPLETED</v>
      </c>
      <c r="AA699" s="431" t="s">
        <v>5302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5307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46278.083333333336</v>
      </c>
      <c r="AN699" s="588">
        <f>IF(VLOOKUP(AT699, Vessel!A:I, 9, FALSE)=0, "", VLOOKUP(AT699, Vessel!A:I, 9, FALSE))</f>
        <v>46278.186840277776</v>
      </c>
      <c r="AP699" s="431" t="s">
        <v>5295</v>
      </c>
      <c r="AQ699" s="431" t="s">
        <v>80</v>
      </c>
      <c r="AR699" s="431" t="s">
        <v>5304</v>
      </c>
      <c r="AS699" s="431" t="s">
        <v>5305</v>
      </c>
      <c r="AT699" s="431" t="s">
        <v>5305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46286.186840277776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39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5308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207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10">
        <f>PV_DATA[[#This Row],[QUANTITY]]/PV_DATA[[#This Row],[Qty/CT]]</f>
        <v>1</v>
      </c>
      <c r="Y700" s="431" t="s">
        <v>2460</v>
      </c>
      <c r="Z700" s="431" t="str">
        <f t="shared" si="8"/>
        <v>COMPLETED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5309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2">
        <v>46265</v>
      </c>
      <c r="AM700" s="1378">
        <f>IFERROR(VLOOKUP(AT700, Vessel!A:H, 8, FALSE), "")</f>
        <v>46278.083333333336</v>
      </c>
      <c r="AN700" s="588">
        <f>IF(VLOOKUP(AT700, Vessel!A:I, 9, FALSE)=0, "", VLOOKUP(AT700, Vessel!A:I, 9, FALSE))</f>
        <v>46278.186840277776</v>
      </c>
      <c r="AP700" s="431" t="s">
        <v>5295</v>
      </c>
      <c r="AQ700" s="431" t="s">
        <v>80</v>
      </c>
      <c r="AR700" s="431" t="s">
        <v>5304</v>
      </c>
      <c r="AS700" s="431" t="s">
        <v>5305</v>
      </c>
      <c r="AT700" s="431" t="s">
        <v>5305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46286.186840277776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39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5310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207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10">
        <v>2</v>
      </c>
      <c r="Y701" s="431" t="s">
        <v>2458</v>
      </c>
      <c r="Z701" s="431" t="str">
        <f t="shared" si="8"/>
        <v>COMPLETED</v>
      </c>
      <c r="AA701" s="431" t="s">
        <v>5299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5311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2">
        <v>46265</v>
      </c>
      <c r="AM701" s="1378">
        <f>IFERROR(VLOOKUP(AT701, Vessel!A:H, 8, FALSE), "")</f>
        <v>46278.083333333336</v>
      </c>
      <c r="AN701" s="588">
        <f>IF(VLOOKUP(AT701, Vessel!A:I, 9, FALSE)=0, "", VLOOKUP(AT701, Vessel!A:I, 9, FALSE))</f>
        <v>46278.186840277776</v>
      </c>
      <c r="AP701" s="431" t="s">
        <v>5295</v>
      </c>
      <c r="AQ701" s="617" t="s">
        <v>80</v>
      </c>
      <c r="AR701" s="431" t="s">
        <v>5304</v>
      </c>
      <c r="AS701" s="431" t="s">
        <v>5305</v>
      </c>
      <c r="AT701" s="431" t="s">
        <v>5305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46286.186840277776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39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5312</v>
      </c>
      <c r="B702" s="463" t="s">
        <v>5313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2712</v>
      </c>
      <c r="I702" s="463" t="s">
        <v>1395</v>
      </c>
      <c r="J702" s="431" t="s">
        <v>5314</v>
      </c>
      <c r="K702" s="431" t="s">
        <v>5315</v>
      </c>
      <c r="L702" s="431" t="s">
        <v>5316</v>
      </c>
      <c r="M702" s="431" t="s">
        <v>840</v>
      </c>
      <c r="N702" s="433">
        <v>46209</v>
      </c>
      <c r="O702" s="431" t="s">
        <v>4526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207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10">
        <f>PV_DATA[[#This Row],[QUANTITY]]/PV_DATA[[#This Row],[Qty/CT]]</f>
        <v>1</v>
      </c>
      <c r="Y702" s="431" t="s">
        <v>2459</v>
      </c>
      <c r="Z702" s="431" t="str">
        <f t="shared" si="8"/>
        <v>COMPLETED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5317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46278.083333333336</v>
      </c>
      <c r="AN702" s="588">
        <f>IFERROR(IF(VLOOKUP(AT702,Vessel!A:I,9,FALSE)=0,"",VLOOKUP(AT702,Vessel!A:I,9,FALSE)),"")</f>
        <v>46278.186840277776</v>
      </c>
      <c r="AP702" s="431" t="s">
        <v>5295</v>
      </c>
      <c r="AQ702" s="617" t="s">
        <v>80</v>
      </c>
      <c r="AR702" s="431" t="s">
        <v>5318</v>
      </c>
      <c r="AS702" s="431" t="s">
        <v>5319</v>
      </c>
      <c r="AT702" s="431" t="s">
        <v>5319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46278.186840277776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5320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207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10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5321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5322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1378">
        <f>IFERROR(VLOOKUP(AT703, Vessel!A:H, 8, FALSE), "")</f>
        <v>46272.833333333336</v>
      </c>
      <c r="AN703" s="588">
        <v>46272.251446759263</v>
      </c>
      <c r="AP703" s="431" t="s">
        <v>5323</v>
      </c>
      <c r="AQ703" s="431" t="s">
        <v>80</v>
      </c>
      <c r="AR703" s="431" t="s">
        <v>5324</v>
      </c>
      <c r="AS703" s="431" t="s">
        <v>5325</v>
      </c>
      <c r="AT703" s="431" t="s">
        <v>5325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5326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207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10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5321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5327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1378">
        <f>IFERROR(VLOOKUP(AT704, Vessel!A:H, 8, FALSE), "")</f>
        <v>46272.833333333336</v>
      </c>
      <c r="AN704" s="588">
        <v>46272.251446759263</v>
      </c>
      <c r="AP704" s="431" t="s">
        <v>5323</v>
      </c>
      <c r="AQ704" s="431" t="s">
        <v>80</v>
      </c>
      <c r="AR704" s="431" t="s">
        <v>5324</v>
      </c>
      <c r="AS704" s="431" t="s">
        <v>5325</v>
      </c>
      <c r="AT704" s="431" t="s">
        <v>5325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5328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5329</v>
      </c>
      <c r="K705" s="539" t="s">
        <v>5330</v>
      </c>
      <c r="L705" s="539">
        <v>1</v>
      </c>
      <c r="M705" s="451" t="s">
        <v>840</v>
      </c>
      <c r="N705" s="452">
        <v>46202</v>
      </c>
      <c r="O705" s="451" t="s">
        <v>5331</v>
      </c>
      <c r="P705" s="451" t="s">
        <v>5332</v>
      </c>
      <c r="Q705" s="451" t="s">
        <v>5333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208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15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5334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5335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5336</v>
      </c>
      <c r="AQ705" s="451" t="s">
        <v>80</v>
      </c>
      <c r="AR705" s="451" t="s">
        <v>5337</v>
      </c>
      <c r="AS705" s="451" t="s">
        <v>5338</v>
      </c>
      <c r="AT705" s="451" t="s">
        <v>5338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5339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5340</v>
      </c>
      <c r="Q706" s="431" t="s">
        <v>5341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207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10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5342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5343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46298.75</v>
      </c>
      <c r="AN706" s="588"/>
      <c r="AP706" s="431" t="s">
        <v>5344</v>
      </c>
      <c r="AQ706" s="439" t="s">
        <v>80</v>
      </c>
      <c r="AR706" s="431" t="s">
        <v>5345</v>
      </c>
      <c r="AS706" s="431" t="s">
        <v>5346</v>
      </c>
      <c r="AT706" s="431" t="s">
        <v>5346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46308.75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42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5347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5348</v>
      </c>
      <c r="L707" s="431">
        <v>1</v>
      </c>
      <c r="M707" s="431" t="s">
        <v>4962</v>
      </c>
      <c r="N707" s="433">
        <v>46209</v>
      </c>
      <c r="O707" s="431" t="s">
        <v>4526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207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10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5349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46285.041666666664</v>
      </c>
      <c r="AN707" s="588" t="str">
        <f>IFERROR(IF(VLOOKUP(AT707,Vessel!A:I,9,FALSE)=0,"",VLOOKUP(AT707,Vessel!A:I,9,FALSE)),"")</f>
        <v/>
      </c>
      <c r="AP707" s="431" t="s">
        <v>5344</v>
      </c>
      <c r="AQ707" s="439" t="s">
        <v>80</v>
      </c>
      <c r="AR707" s="431" t="s">
        <v>5350</v>
      </c>
      <c r="AS707" s="431" t="s">
        <v>5351</v>
      </c>
      <c r="AT707" s="431" t="s">
        <v>5351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46285.041666666664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5352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2712</v>
      </c>
      <c r="I708" s="463" t="s">
        <v>689</v>
      </c>
      <c r="J708" s="431" t="s">
        <v>5314</v>
      </c>
      <c r="K708" s="431" t="s">
        <v>5353</v>
      </c>
      <c r="L708" s="431">
        <v>1</v>
      </c>
      <c r="M708" s="431" t="s">
        <v>840</v>
      </c>
      <c r="N708" s="433">
        <v>46209</v>
      </c>
      <c r="O708" s="431" t="s">
        <v>4526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207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10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5354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46285.041666666664</v>
      </c>
      <c r="AN708" s="588" t="str">
        <f>IFERROR(IF(VLOOKUP(AT708,Vessel!A:I,9,FALSE)=0,"",VLOOKUP(AT708,Vessel!A:I,9,FALSE)),"")</f>
        <v/>
      </c>
      <c r="AP708" s="431" t="s">
        <v>5344</v>
      </c>
      <c r="AQ708" s="439" t="s">
        <v>80</v>
      </c>
      <c r="AR708" s="431" t="s">
        <v>5355</v>
      </c>
      <c r="AS708" s="431" t="s">
        <v>5356</v>
      </c>
      <c r="AT708" s="431" t="s">
        <v>5356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46285.041666666664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5357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2712</v>
      </c>
      <c r="I709" s="463" t="s">
        <v>689</v>
      </c>
      <c r="J709" s="431" t="s">
        <v>5314</v>
      </c>
      <c r="K709" s="431" t="s">
        <v>5358</v>
      </c>
      <c r="L709" s="431" t="s">
        <v>5316</v>
      </c>
      <c r="M709" s="431" t="s">
        <v>840</v>
      </c>
      <c r="N709" s="433">
        <v>46209</v>
      </c>
      <c r="O709" s="431" t="s">
        <v>4526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207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10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5359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46289.25</v>
      </c>
      <c r="AN709" s="588" t="str">
        <f>IFERROR(IF(VLOOKUP(AT709,Vessel!A:I,9,FALSE)=0,"",VLOOKUP(AT709,Vessel!A:I,9,FALSE)),"")</f>
        <v/>
      </c>
      <c r="AP709" s="431" t="s">
        <v>5344</v>
      </c>
      <c r="AQ709" s="439" t="s">
        <v>80</v>
      </c>
      <c r="AR709" s="431" t="s">
        <v>5360</v>
      </c>
      <c r="AS709" s="431" t="s">
        <v>5361</v>
      </c>
      <c r="AT709" s="431" t="s">
        <v>5361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46289.25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5362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2712</v>
      </c>
      <c r="I710" s="463" t="s">
        <v>689</v>
      </c>
      <c r="J710" s="431" t="s">
        <v>5314</v>
      </c>
      <c r="K710" s="431" t="s">
        <v>5363</v>
      </c>
      <c r="L710" s="431" t="s">
        <v>5316</v>
      </c>
      <c r="M710" s="431" t="s">
        <v>840</v>
      </c>
      <c r="N710" s="433">
        <v>46209</v>
      </c>
      <c r="O710" s="431" t="s">
        <v>4526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207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10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5364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46289.25</v>
      </c>
      <c r="AN710" s="588" t="str">
        <f>IFERROR(IF(VLOOKUP(AT710,Vessel!A:I,9,FALSE)=0,"",VLOOKUP(AT710,Vessel!A:I,9,FALSE)),"")</f>
        <v/>
      </c>
      <c r="AP710" s="431" t="s">
        <v>5344</v>
      </c>
      <c r="AQ710" s="439" t="s">
        <v>80</v>
      </c>
      <c r="AR710" s="431" t="s">
        <v>5365</v>
      </c>
      <c r="AS710" s="431" t="s">
        <v>5366</v>
      </c>
      <c r="AT710" s="431" t="s">
        <v>5366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46289.25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5367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5368</v>
      </c>
      <c r="K711" s="432" t="s">
        <v>4874</v>
      </c>
      <c r="L711" s="432">
        <v>5</v>
      </c>
      <c r="M711" s="432" t="s">
        <v>840</v>
      </c>
      <c r="N711" s="462">
        <v>46195</v>
      </c>
      <c r="O711" s="432" t="s">
        <v>4526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212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14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5369</v>
      </c>
      <c r="AF711" s="448" t="s">
        <v>5029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46285.25</v>
      </c>
      <c r="AN711" s="588"/>
      <c r="AP711" s="432" t="s">
        <v>5370</v>
      </c>
      <c r="AQ711" s="432" t="s">
        <v>80</v>
      </c>
      <c r="AR711" s="432" t="s">
        <v>5371</v>
      </c>
      <c r="AS711" s="432" t="s">
        <v>5372</v>
      </c>
      <c r="AT711" s="432" t="s">
        <v>5372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46285.25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5373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5374</v>
      </c>
      <c r="P712" s="432" t="s">
        <v>5375</v>
      </c>
      <c r="Q712" s="432" t="s">
        <v>5376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212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14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5377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5370</v>
      </c>
      <c r="AQ712" s="446" t="s">
        <v>80</v>
      </c>
      <c r="AR712" s="432" t="s">
        <v>5378</v>
      </c>
      <c r="AS712" s="432" t="s">
        <v>5379</v>
      </c>
      <c r="AT712" s="432" t="s">
        <v>5379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5380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4526</v>
      </c>
      <c r="P713" s="431" t="s">
        <v>5085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207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10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5381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5382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5383</v>
      </c>
      <c r="AQ713" s="431" t="s">
        <v>80</v>
      </c>
      <c r="AR713" s="431" t="s">
        <v>5384</v>
      </c>
      <c r="AS713" s="431" t="s">
        <v>5385</v>
      </c>
      <c r="AT713" s="431" t="s">
        <v>5385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5386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5387</v>
      </c>
      <c r="K714" s="431" t="s">
        <v>5388</v>
      </c>
      <c r="L714" s="431">
        <v>1</v>
      </c>
      <c r="M714" s="431" t="s">
        <v>840</v>
      </c>
      <c r="N714" s="433">
        <v>46167</v>
      </c>
      <c r="O714" s="431" t="s">
        <v>4526</v>
      </c>
      <c r="P714" s="460" t="s">
        <v>4587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207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15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5389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5390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5383</v>
      </c>
      <c r="AQ714" s="431" t="s">
        <v>80</v>
      </c>
      <c r="AR714" s="431" t="s">
        <v>5391</v>
      </c>
      <c r="AS714" s="431" t="s">
        <v>5392</v>
      </c>
      <c r="AT714" s="431" t="s">
        <v>5392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5393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5394</v>
      </c>
      <c r="L715" s="431">
        <v>1</v>
      </c>
      <c r="M715" s="431" t="s">
        <v>840</v>
      </c>
      <c r="N715" s="433">
        <v>46202</v>
      </c>
      <c r="O715" s="431" t="s">
        <v>5374</v>
      </c>
      <c r="P715" s="460" t="s">
        <v>5395</v>
      </c>
      <c r="Q715" s="431" t="s">
        <v>5396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207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10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5397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5398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5383</v>
      </c>
      <c r="AQ715" s="439" t="s">
        <v>80</v>
      </c>
      <c r="AR715" s="431" t="s">
        <v>5399</v>
      </c>
      <c r="AS715" s="431" t="s">
        <v>5400</v>
      </c>
      <c r="AT715" s="431" t="s">
        <v>5400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5401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4586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4526</v>
      </c>
      <c r="P716" s="431" t="s">
        <v>5036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207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10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5402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5403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5404</v>
      </c>
      <c r="AQ716" s="431" t="s">
        <v>80</v>
      </c>
      <c r="AR716" s="431" t="s">
        <v>5405</v>
      </c>
      <c r="AS716" s="431" t="s">
        <v>5406</v>
      </c>
      <c r="AT716" s="431" t="s">
        <v>5406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5407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4586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4526</v>
      </c>
      <c r="P717" s="431" t="s">
        <v>5036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207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10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5402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5408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5404</v>
      </c>
      <c r="AQ717" s="431" t="s">
        <v>80</v>
      </c>
      <c r="AR717" s="431" t="s">
        <v>5405</v>
      </c>
      <c r="AS717" s="431" t="s">
        <v>5406</v>
      </c>
      <c r="AT717" s="431" t="s">
        <v>5406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5409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207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10">
        <f>PV_DATA[[#This Row],[QUANTITY]]/PV_DATA[[#This Row],[Qty/CT]]</f>
        <v>4</v>
      </c>
      <c r="Y718" s="431" t="s">
        <v>2459</v>
      </c>
      <c r="Z718" s="431" t="str">
        <f t="shared" si="8"/>
        <v>COMPLETED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5410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46274.291666666664</v>
      </c>
      <c r="AN718" s="588">
        <f>IFERROR(IF(VLOOKUP(AT718,Vessel!A:I,9,FALSE)=0,"",VLOOKUP(AT718,Vessel!A:I,9,FALSE)),"")</f>
        <v>46274.338287037041</v>
      </c>
      <c r="AP718" s="431" t="s">
        <v>5411</v>
      </c>
      <c r="AQ718" s="431" t="s">
        <v>80</v>
      </c>
      <c r="AR718" s="431" t="s">
        <v>5412</v>
      </c>
      <c r="AS718" s="431" t="s">
        <v>5413</v>
      </c>
      <c r="AT718" s="431" t="s">
        <v>5413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46281.338287037041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5414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207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10">
        <f>PV_DATA[[#This Row],[QUANTITY]]/PV_DATA[[#This Row],[Qty/CT]]</f>
        <v>2</v>
      </c>
      <c r="Y719" s="431" t="s">
        <v>2459</v>
      </c>
      <c r="Z719" s="431" t="str">
        <f t="shared" si="8"/>
        <v>COMPLETED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5415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2">
        <v>46263</v>
      </c>
      <c r="AM719" s="1378">
        <f>IFERROR(VLOOKUP(AT719, Vessel!A:H, 8, FALSE), "")</f>
        <v>46274.291666666664</v>
      </c>
      <c r="AN719" s="588">
        <f>IFERROR(IF(VLOOKUP(AT719,Vessel!A:I,9,FALSE)=0,"",VLOOKUP(AT719,Vessel!A:I,9,FALSE)),"")</f>
        <v>46274.338287037041</v>
      </c>
      <c r="AP719" s="431" t="s">
        <v>5411</v>
      </c>
      <c r="AQ719" s="431" t="s">
        <v>80</v>
      </c>
      <c r="AR719" s="431" t="s">
        <v>5412</v>
      </c>
      <c r="AS719" s="431" t="s">
        <v>5413</v>
      </c>
      <c r="AT719" s="431" t="s">
        <v>5413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46281.338287037041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5416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5374</v>
      </c>
      <c r="P720" s="431" t="s">
        <v>5375</v>
      </c>
      <c r="Q720" s="431" t="s">
        <v>5376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207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10">
        <f>PV_DATA[[#This Row],[QUANTITY]]/PV_DATA[[#This Row],[Qty/CT]]</f>
        <v>2</v>
      </c>
      <c r="Y720" s="431" t="s">
        <v>2460</v>
      </c>
      <c r="Z720" s="431" t="str">
        <f t="shared" si="8"/>
        <v>COMPLETED</v>
      </c>
      <c r="AA720" s="431" t="s">
        <v>5417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5418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46274.291666666664</v>
      </c>
      <c r="AN720" s="588">
        <f>IFERROR(IF(VLOOKUP(AT720,Vessel!A:I,9,FALSE)=0,"",VLOOKUP(AT720,Vessel!A:I,9,FALSE)),"")</f>
        <v>46274.338287037041</v>
      </c>
      <c r="AP720" s="431" t="s">
        <v>5411</v>
      </c>
      <c r="AQ720" s="431" t="s">
        <v>80</v>
      </c>
      <c r="AR720" s="431" t="s">
        <v>5412</v>
      </c>
      <c r="AS720" s="431" t="s">
        <v>5413</v>
      </c>
      <c r="AT720" s="431" t="s">
        <v>5413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46281.338287037041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5419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4526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207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10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5420</v>
      </c>
      <c r="AE721" s="431"/>
      <c r="AF721" s="460" t="s">
        <v>5029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5421</v>
      </c>
      <c r="AQ721" s="431" t="s">
        <v>161</v>
      </c>
      <c r="AR721" s="431" t="s">
        <v>5422</v>
      </c>
      <c r="AS721" s="431" t="s">
        <v>5423</v>
      </c>
      <c r="AT721" s="431" t="s">
        <v>5424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5425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4526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207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10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5426</v>
      </c>
      <c r="AE722" s="431"/>
      <c r="AF722" s="460" t="s">
        <v>5029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5427</v>
      </c>
      <c r="AQ722" s="431" t="s">
        <v>161</v>
      </c>
      <c r="AR722" s="431" t="s">
        <v>5428</v>
      </c>
      <c r="AS722" s="431" t="s">
        <v>5429</v>
      </c>
      <c r="AT722" s="431" t="s">
        <v>5430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5431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4526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207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10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5432</v>
      </c>
      <c r="AE723" s="431"/>
      <c r="AF723" s="460" t="s">
        <v>5029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5427</v>
      </c>
      <c r="AQ723" s="431" t="s">
        <v>161</v>
      </c>
      <c r="AR723" s="431" t="s">
        <v>5428</v>
      </c>
      <c r="AS723" s="431" t="s">
        <v>5429</v>
      </c>
      <c r="AT723" s="431" t="s">
        <v>5430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5433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5374</v>
      </c>
      <c r="P724" s="431" t="s">
        <v>5395</v>
      </c>
      <c r="Q724" s="431" t="s">
        <v>5396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207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10">
        <f>PV_DATA[[#This Row],[QUANTITY]]/PV_DATA[[#This Row],[Qty/CT]]</f>
        <v>5</v>
      </c>
      <c r="Y724" s="431" t="s">
        <v>2459</v>
      </c>
      <c r="Z724" s="431" t="str">
        <f t="shared" si="8"/>
        <v>COMPLETED</v>
      </c>
      <c r="AA724" s="431" t="s">
        <v>5434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5435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46278.083333333336</v>
      </c>
      <c r="AN724" s="588">
        <f>IFERROR(IF(VLOOKUP(AT724,Vessel!A:I,9,FALSE)=0,"",VLOOKUP(AT724,Vessel!A:I,9,FALSE)),"")</f>
        <v>46278.186840277776</v>
      </c>
      <c r="AP724" s="431" t="s">
        <v>5436</v>
      </c>
      <c r="AQ724" s="439" t="s">
        <v>80</v>
      </c>
      <c r="AR724" s="431" t="s">
        <v>5437</v>
      </c>
      <c r="AS724" s="431" t="s">
        <v>5438</v>
      </c>
      <c r="AT724" s="431" t="s">
        <v>5438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46286.186840277776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39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5439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5374</v>
      </c>
      <c r="P725" s="431" t="s">
        <v>5395</v>
      </c>
      <c r="Q725" s="431" t="s">
        <v>5396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207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10">
        <f>PV_DATA[[#This Row],[QUANTITY]]/PV_DATA[[#This Row],[Qty/CT]]</f>
        <v>1</v>
      </c>
      <c r="Y725" s="431" t="s">
        <v>2459</v>
      </c>
      <c r="Z725" s="431" t="str">
        <f t="shared" si="8"/>
        <v>COMPLETED</v>
      </c>
      <c r="AA725" s="431" t="s">
        <v>5434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5440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46278.083333333336</v>
      </c>
      <c r="AN725" s="588">
        <f>IFERROR(IF(VLOOKUP(AT725,Vessel!A:I,9,FALSE)=0,"",VLOOKUP(AT725,Vessel!A:I,9,FALSE)),"")</f>
        <v>46278.186840277776</v>
      </c>
      <c r="AP725" s="431" t="s">
        <v>5436</v>
      </c>
      <c r="AQ725" s="439" t="s">
        <v>80</v>
      </c>
      <c r="AR725" s="431" t="s">
        <v>5437</v>
      </c>
      <c r="AS725" s="431" t="s">
        <v>5438</v>
      </c>
      <c r="AT725" s="431" t="s">
        <v>5438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46286.186840277776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39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5441</v>
      </c>
      <c r="B726" s="463" t="s">
        <v>5313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4526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207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10">
        <f>PV_DATA[[#This Row],[QUANTITY]]/PV_DATA[[#This Row],[Qty/CT]]</f>
        <v>6</v>
      </c>
      <c r="Y726" s="431" t="s">
        <v>2459</v>
      </c>
      <c r="Z726" s="431" t="str">
        <f t="shared" si="8"/>
        <v>COMPLETED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5442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46278.083333333336</v>
      </c>
      <c r="AN726" s="588">
        <f>IFERROR(IF(VLOOKUP(AT726,Vessel!A:I,9,FALSE)=0,"",VLOOKUP(AT726,Vessel!A:I,9,FALSE)),"")</f>
        <v>46278.186840277776</v>
      </c>
      <c r="AP726" s="431" t="s">
        <v>5436</v>
      </c>
      <c r="AQ726" s="431" t="s">
        <v>80</v>
      </c>
      <c r="AR726" s="431" t="s">
        <v>5443</v>
      </c>
      <c r="AS726" s="431" t="s">
        <v>5444</v>
      </c>
      <c r="AT726" s="431" t="s">
        <v>5444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46286.186840277776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39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5445</v>
      </c>
      <c r="B727" s="463" t="s">
        <v>5313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4526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207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10">
        <f>PV_DATA[[#This Row],[QUANTITY]]/PV_DATA[[#This Row],[Qty/CT]]</f>
        <v>1</v>
      </c>
      <c r="Y727" s="431" t="s">
        <v>2460</v>
      </c>
      <c r="Z727" s="431" t="str">
        <f t="shared" si="8"/>
        <v>COMPLETED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5446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46278.083333333336</v>
      </c>
      <c r="AN727" s="588">
        <f>IFERROR(IF(VLOOKUP(AT727,Vessel!A:I,9,FALSE)=0,"",VLOOKUP(AT727,Vessel!A:I,9,FALSE)),"")</f>
        <v>46278.186840277776</v>
      </c>
      <c r="AP727" s="431" t="s">
        <v>5436</v>
      </c>
      <c r="AQ727" s="431" t="s">
        <v>80</v>
      </c>
      <c r="AR727" s="431" t="s">
        <v>5443</v>
      </c>
      <c r="AS727" s="431" t="s">
        <v>5444</v>
      </c>
      <c r="AT727" s="431" t="s">
        <v>5444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46286.186840277776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39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5447</v>
      </c>
      <c r="B728" s="463" t="s">
        <v>5313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4526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207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10">
        <f>PV_DATA[[#This Row],[QUANTITY]]/PV_DATA[[#This Row],[Qty/CT]]</f>
        <v>3</v>
      </c>
      <c r="Y728" s="431" t="s">
        <v>2460</v>
      </c>
      <c r="Z728" s="431" t="str">
        <f t="shared" si="8"/>
        <v>COMPLETED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5448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46278.083333333336</v>
      </c>
      <c r="AN728" s="588">
        <f>IFERROR(IF(VLOOKUP(AT728,Vessel!A:I,9,FALSE)=0,"",VLOOKUP(AT728,Vessel!A:I,9,FALSE)),"")</f>
        <v>46278.186840277776</v>
      </c>
      <c r="AP728" s="431" t="s">
        <v>5436</v>
      </c>
      <c r="AQ728" s="431" t="s">
        <v>80</v>
      </c>
      <c r="AR728" s="431" t="s">
        <v>5443</v>
      </c>
      <c r="AS728" s="431" t="s">
        <v>5444</v>
      </c>
      <c r="AT728" s="431" t="s">
        <v>5444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46286.186840277776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39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5449</v>
      </c>
      <c r="B729" s="463" t="s">
        <v>5313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5450</v>
      </c>
      <c r="L729" s="432">
        <v>1</v>
      </c>
      <c r="M729" s="431" t="s">
        <v>840</v>
      </c>
      <c r="N729" s="433">
        <v>46209</v>
      </c>
      <c r="O729" s="431" t="s">
        <v>4526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207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10">
        <f>PV_DATA[[#This Row],[QUANTITY]]/PV_DATA[[#This Row],[Qty/CT]]</f>
        <v>3</v>
      </c>
      <c r="Y729" s="431" t="s">
        <v>2459</v>
      </c>
      <c r="Z729" s="431" t="str">
        <f t="shared" si="8"/>
        <v>COMPLETED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5451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46278.083333333336</v>
      </c>
      <c r="AN729" s="588">
        <f>IFERROR(IF(VLOOKUP(AT729,Vessel!A:I,9,FALSE)=0,"",VLOOKUP(AT729,Vessel!A:I,9,FALSE)),"")</f>
        <v>46278.186840277776</v>
      </c>
      <c r="AP729" s="431" t="s">
        <v>5436</v>
      </c>
      <c r="AQ729" s="431" t="s">
        <v>80</v>
      </c>
      <c r="AR729" s="431" t="s">
        <v>5452</v>
      </c>
      <c r="AS729" s="431" t="s">
        <v>5453</v>
      </c>
      <c r="AT729" s="431" t="s">
        <v>5453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46278.186840277776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5454</v>
      </c>
      <c r="B730" s="463" t="s">
        <v>5313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5455</v>
      </c>
      <c r="L730" s="432">
        <v>4</v>
      </c>
      <c r="M730" s="431" t="s">
        <v>840</v>
      </c>
      <c r="N730" s="433">
        <v>46209</v>
      </c>
      <c r="O730" s="431" t="s">
        <v>4526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207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10">
        <f>PV_DATA[[#This Row],[QUANTITY]]/PV_DATA[[#This Row],[Qty/CT]]</f>
        <v>1</v>
      </c>
      <c r="Y730" s="431" t="s">
        <v>2459</v>
      </c>
      <c r="Z730" s="431" t="str">
        <f t="shared" si="8"/>
        <v>COMPLETED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5456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46278.083333333336</v>
      </c>
      <c r="AN730" s="588">
        <f>IFERROR(IF(VLOOKUP(AT730,Vessel!A:I,9,FALSE)=0,"",VLOOKUP(AT730,Vessel!A:I,9,FALSE)),"")</f>
        <v>46278.186840277776</v>
      </c>
      <c r="AP730" s="431" t="s">
        <v>5436</v>
      </c>
      <c r="AQ730" s="431" t="s">
        <v>80</v>
      </c>
      <c r="AR730" s="431" t="s">
        <v>5452</v>
      </c>
      <c r="AS730" s="431" t="s">
        <v>5453</v>
      </c>
      <c r="AT730" s="431" t="s">
        <v>5453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46278.186840277776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5457</v>
      </c>
      <c r="B731" s="463" t="s">
        <v>5313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5455</v>
      </c>
      <c r="L731" s="432">
        <v>1</v>
      </c>
      <c r="M731" s="431" t="s">
        <v>840</v>
      </c>
      <c r="N731" s="433">
        <v>46209</v>
      </c>
      <c r="O731" s="431" t="s">
        <v>4526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207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10">
        <f>PV_DATA[[#This Row],[QUANTITY]]/PV_DATA[[#This Row],[Qty/CT]]</f>
        <v>2</v>
      </c>
      <c r="Y731" s="431" t="s">
        <v>2459</v>
      </c>
      <c r="Z731" s="431" t="str">
        <f t="shared" si="8"/>
        <v>COMPLETED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5458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>
        <f>IFERROR(IF(VLOOKUP(AT731,Vessel!A:I,9,FALSE)=0,"",VLOOKUP(AT731,Vessel!A:I,9,FALSE)),"")</f>
        <v>46272.644375000003</v>
      </c>
      <c r="AP731" s="431" t="s">
        <v>5459</v>
      </c>
      <c r="AQ731" s="431" t="s">
        <v>80</v>
      </c>
      <c r="AR731" s="431" t="s">
        <v>5460</v>
      </c>
      <c r="AS731" s="431" t="s">
        <v>5461</v>
      </c>
      <c r="AT731" s="431" t="s">
        <v>5461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46272.644375000003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5462</v>
      </c>
      <c r="B732" s="463" t="s">
        <v>5313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2712</v>
      </c>
      <c r="I732" s="463" t="s">
        <v>1395</v>
      </c>
      <c r="J732" s="431" t="s">
        <v>5314</v>
      </c>
      <c r="K732" s="432" t="s">
        <v>5463</v>
      </c>
      <c r="L732" s="432" t="s">
        <v>5316</v>
      </c>
      <c r="M732" s="431" t="s">
        <v>840</v>
      </c>
      <c r="N732" s="433">
        <v>46209</v>
      </c>
      <c r="O732" s="431" t="s">
        <v>4526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207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10">
        <f>PV_DATA[[#This Row],[QUANTITY]]/PV_DATA[[#This Row],[Qty/CT]]</f>
        <v>1</v>
      </c>
      <c r="Y732" s="431" t="s">
        <v>2459</v>
      </c>
      <c r="Z732" s="431" t="str">
        <f t="shared" si="8"/>
        <v>COMPLETED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5464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>
        <f>IFERROR(IF(VLOOKUP(AT732,Vessel!A:I,9,FALSE)=0,"",VLOOKUP(AT732,Vessel!A:I,9,FALSE)),"")</f>
        <v>46272.644375000003</v>
      </c>
      <c r="AP732" s="431" t="s">
        <v>5465</v>
      </c>
      <c r="AQ732" s="431" t="s">
        <v>80</v>
      </c>
      <c r="AR732" s="431" t="s">
        <v>5466</v>
      </c>
      <c r="AS732" s="431" t="s">
        <v>5467</v>
      </c>
      <c r="AT732" s="431" t="s">
        <v>5467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46272.644375000003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5468</v>
      </c>
      <c r="B733" s="463" t="s">
        <v>5313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2712</v>
      </c>
      <c r="I733" s="463" t="s">
        <v>1395</v>
      </c>
      <c r="J733" s="431" t="s">
        <v>5314</v>
      </c>
      <c r="K733" s="432" t="s">
        <v>5469</v>
      </c>
      <c r="L733" s="432" t="s">
        <v>5316</v>
      </c>
      <c r="M733" s="431" t="s">
        <v>840</v>
      </c>
      <c r="N733" s="433">
        <v>46209</v>
      </c>
      <c r="O733" s="431" t="s">
        <v>4526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207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10">
        <f>PV_DATA[[#This Row],[QUANTITY]]/PV_DATA[[#This Row],[Qty/CT]]</f>
        <v>1</v>
      </c>
      <c r="Y733" s="431" t="s">
        <v>2459</v>
      </c>
      <c r="Z733" s="431" t="str">
        <f t="shared" si="8"/>
        <v>COMPLETED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5470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>
        <f>IFERROR(IF(VLOOKUP(AT733,Vessel!A:I,9,FALSE)=0,"",VLOOKUP(AT733,Vessel!A:I,9,FALSE)),"")</f>
        <v>46272.644375000003</v>
      </c>
      <c r="AP733" s="431" t="s">
        <v>5465</v>
      </c>
      <c r="AQ733" s="431" t="s">
        <v>80</v>
      </c>
      <c r="AR733" s="431" t="s">
        <v>5466</v>
      </c>
      <c r="AS733" s="431" t="s">
        <v>5467</v>
      </c>
      <c r="AT733" s="431" t="s">
        <v>5467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46272.644375000003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5471</v>
      </c>
      <c r="B734" s="463" t="s">
        <v>5313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2712</v>
      </c>
      <c r="I734" s="463" t="s">
        <v>1395</v>
      </c>
      <c r="J734" s="431" t="s">
        <v>5314</v>
      </c>
      <c r="K734" s="432" t="s">
        <v>5472</v>
      </c>
      <c r="L734" s="432" t="s">
        <v>5316</v>
      </c>
      <c r="M734" s="431" t="s">
        <v>840</v>
      </c>
      <c r="N734" s="433">
        <v>46209</v>
      </c>
      <c r="O734" s="431" t="s">
        <v>4526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207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10">
        <f>PV_DATA[[#This Row],[QUANTITY]]/PV_DATA[[#This Row],[Qty/CT]]</f>
        <v>1</v>
      </c>
      <c r="Y734" s="431" t="s">
        <v>2459</v>
      </c>
      <c r="Z734" s="431" t="str">
        <f t="shared" si="8"/>
        <v>COMPLETED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5473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>
        <f>IFERROR(IF(VLOOKUP(AT734,Vessel!A:I,9,FALSE)=0,"",VLOOKUP(AT734,Vessel!A:I,9,FALSE)),"")</f>
        <v>46272.644375000003</v>
      </c>
      <c r="AP734" s="431" t="s">
        <v>5465</v>
      </c>
      <c r="AQ734" s="431" t="s">
        <v>80</v>
      </c>
      <c r="AR734" s="431" t="s">
        <v>5466</v>
      </c>
      <c r="AS734" s="431" t="s">
        <v>5467</v>
      </c>
      <c r="AT734" s="431" t="s">
        <v>5467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46272.644375000003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5474</v>
      </c>
      <c r="B735" s="463" t="s">
        <v>5313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2712</v>
      </c>
      <c r="I735" s="463" t="s">
        <v>1395</v>
      </c>
      <c r="J735" s="431" t="s">
        <v>5314</v>
      </c>
      <c r="K735" s="432" t="s">
        <v>5475</v>
      </c>
      <c r="L735" s="432" t="s">
        <v>5316</v>
      </c>
      <c r="M735" s="431" t="s">
        <v>840</v>
      </c>
      <c r="N735" s="433">
        <v>46209</v>
      </c>
      <c r="O735" s="431" t="s">
        <v>4526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207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10">
        <f>PV_DATA[[#This Row],[QUANTITY]]/PV_DATA[[#This Row],[Qty/CT]]</f>
        <v>1</v>
      </c>
      <c r="Y735" s="431" t="s">
        <v>2459</v>
      </c>
      <c r="Z735" s="431" t="str">
        <f t="shared" si="8"/>
        <v>COMPLETED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5476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>
        <f>IFERROR(IF(VLOOKUP(AT735,Vessel!A:I,9,FALSE)=0,"",VLOOKUP(AT735,Vessel!A:I,9,FALSE)),"")</f>
        <v>46272.644375000003</v>
      </c>
      <c r="AP735" s="431" t="s">
        <v>5465</v>
      </c>
      <c r="AQ735" s="431" t="s">
        <v>80</v>
      </c>
      <c r="AR735" s="431" t="s">
        <v>5466</v>
      </c>
      <c r="AS735" s="431" t="s">
        <v>5467</v>
      </c>
      <c r="AT735" s="431" t="s">
        <v>5467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46272.644375000003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5477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4526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207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10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5478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5479</v>
      </c>
      <c r="AQ736" s="439" t="s">
        <v>80</v>
      </c>
      <c r="AR736" s="431" t="s">
        <v>5480</v>
      </c>
      <c r="AS736" s="431" t="s">
        <v>5481</v>
      </c>
      <c r="AT736" s="431" t="s">
        <v>5481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5482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4526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207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10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5483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46282.833333333336</v>
      </c>
      <c r="AN737" s="588" t="str">
        <f>IFERROR(IF(VLOOKUP(AT737,Vessel!A:I,9,FALSE)=0,"",VLOOKUP(AT737,Vessel!A:I,9,FALSE)),"")</f>
        <v/>
      </c>
      <c r="AP737" s="431" t="s">
        <v>5479</v>
      </c>
      <c r="AQ737" s="439" t="s">
        <v>80</v>
      </c>
      <c r="AR737" s="431" t="s">
        <v>5484</v>
      </c>
      <c r="AS737" s="431" t="s">
        <v>5485</v>
      </c>
      <c r="AT737" s="431" t="s">
        <v>5485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63.833333333335759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46290.833333333336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5486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4526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207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10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5487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5479</v>
      </c>
      <c r="AQ738" s="431" t="s">
        <v>80</v>
      </c>
      <c r="AR738" s="431" t="s">
        <v>5488</v>
      </c>
      <c r="AS738" s="431" t="s">
        <v>5489</v>
      </c>
      <c r="AT738" s="431" t="s">
        <v>5489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5490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5491</v>
      </c>
      <c r="Q739" s="431" t="s">
        <v>5341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207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10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5492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5493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/>
      <c r="AN739" s="588"/>
      <c r="AO739" s="431"/>
      <c r="AP739" s="431" t="s">
        <v>5479</v>
      </c>
      <c r="AQ739" s="431" t="s">
        <v>80</v>
      </c>
      <c r="AR739" s="431" t="s">
        <v>5422</v>
      </c>
      <c r="AS739" s="431" t="s">
        <v>5494</v>
      </c>
      <c r="AT739" s="431" t="s">
        <v>5494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5495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5374</v>
      </c>
      <c r="P740" s="431" t="s">
        <v>5375</v>
      </c>
      <c r="Q740" s="431" t="s">
        <v>5376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207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10">
        <f>PV_DATA[[#This Row],[QUANTITY]]/PV_DATA[[#This Row],[Qty/CT]]</f>
        <v>2</v>
      </c>
      <c r="Y740" s="431" t="s">
        <v>2460</v>
      </c>
      <c r="Z740" s="431" t="str">
        <f t="shared" si="8"/>
        <v>COMPLETED</v>
      </c>
      <c r="AA740" s="431" t="s">
        <v>5417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5496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46274.999305555553</v>
      </c>
      <c r="AN740" s="588">
        <f>IFERROR(IF(VLOOKUP(AT740,Vessel!A:I,9,FALSE)=0,"",VLOOKUP(AT740,Vessel!A:I,9,FALSE)),"")</f>
        <v>46275.009525462963</v>
      </c>
      <c r="AP740" s="431" t="s">
        <v>5497</v>
      </c>
      <c r="AQ740" s="439" t="s">
        <v>80</v>
      </c>
      <c r="AR740" s="431" t="s">
        <v>5498</v>
      </c>
      <c r="AS740" s="431" t="s">
        <v>5499</v>
      </c>
      <c r="AT740" s="431" t="s">
        <v>5499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46282.009525462963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5500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4526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207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10">
        <f>PV_DATA[[#This Row],[QUANTITY]]/PV_DATA[[#This Row],[Qty/CT]]</f>
        <v>3</v>
      </c>
      <c r="Y741" s="431" t="s">
        <v>2460</v>
      </c>
      <c r="Z741" s="431" t="str">
        <f t="shared" si="8"/>
        <v>COMPLETED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5501</v>
      </c>
      <c r="AE741" s="431"/>
      <c r="AF741" s="460" t="s">
        <v>5029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46274.999305555553</v>
      </c>
      <c r="AN741" s="588">
        <f>IFERROR(IF(VLOOKUP(AT741,Vessel!A:I,9,FALSE)=0,"",VLOOKUP(AT741,Vessel!A:I,9,FALSE)),"")</f>
        <v>46275.009525462963</v>
      </c>
      <c r="AP741" s="431" t="s">
        <v>5497</v>
      </c>
      <c r="AQ741" s="431" t="s">
        <v>80</v>
      </c>
      <c r="AR741" s="431" t="s">
        <v>5502</v>
      </c>
      <c r="AS741" s="431" t="s">
        <v>5503</v>
      </c>
      <c r="AT741" s="431" t="s">
        <v>5503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46282.009525462963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5504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4526</v>
      </c>
      <c r="P742" s="431" t="s">
        <v>5085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207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10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5505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5506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5507</v>
      </c>
      <c r="AQ742" s="431" t="s">
        <v>80</v>
      </c>
      <c r="AR742" s="431" t="s">
        <v>5508</v>
      </c>
      <c r="AS742" s="431" t="s">
        <v>5509</v>
      </c>
      <c r="AT742" s="431" t="s">
        <v>5509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5510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4526</v>
      </c>
      <c r="P743" s="431" t="s">
        <v>5085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207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10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5505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5511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5507</v>
      </c>
      <c r="AQ743" s="431" t="s">
        <v>80</v>
      </c>
      <c r="AR743" s="431" t="s">
        <v>5508</v>
      </c>
      <c r="AS743" s="431" t="s">
        <v>5509</v>
      </c>
      <c r="AT743" s="431" t="s">
        <v>5509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5512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207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10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5513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2">
        <v>46274</v>
      </c>
      <c r="AM744" s="1381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5514</v>
      </c>
      <c r="AQ744" s="439" t="s">
        <v>80</v>
      </c>
      <c r="AR744" s="431" t="s">
        <v>5515</v>
      </c>
      <c r="AS744" s="431" t="s">
        <v>5516</v>
      </c>
      <c r="AT744" s="431" t="s">
        <v>5516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5517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4526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207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10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5518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5519</v>
      </c>
      <c r="AE745" s="431"/>
      <c r="AF745" s="460" t="s">
        <v>5520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46285.041666666664</v>
      </c>
      <c r="AN745" s="588" t="str">
        <f>IFERROR(IF(VLOOKUP(AT745,Vessel!A:I,9,FALSE)=0,"",VLOOKUP(AT745,Vessel!A:I,9,FALSE)),"")</f>
        <v/>
      </c>
      <c r="AP745" s="431" t="s">
        <v>5514</v>
      </c>
      <c r="AQ745" s="431" t="s">
        <v>80</v>
      </c>
      <c r="AR745" s="431" t="s">
        <v>5521</v>
      </c>
      <c r="AS745" s="431" t="s">
        <v>5522</v>
      </c>
      <c r="AT745" s="431" t="s">
        <v>5522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46293.041666666664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40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5523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4526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207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10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5524</v>
      </c>
      <c r="AE746" s="431"/>
      <c r="AF746" s="460" t="s">
        <v>5029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46285.041666666664</v>
      </c>
      <c r="AN746" s="588" t="str">
        <f>IFERROR(IF(VLOOKUP(AT746,Vessel!A:I,9,FALSE)=0,"",VLOOKUP(AT746,Vessel!A:I,9,FALSE)),"")</f>
        <v/>
      </c>
      <c r="AP746" s="431" t="s">
        <v>5514</v>
      </c>
      <c r="AQ746" s="431" t="s">
        <v>80</v>
      </c>
      <c r="AR746" s="431" t="s">
        <v>5521</v>
      </c>
      <c r="AS746" s="431" t="s">
        <v>5522</v>
      </c>
      <c r="AT746" s="431" t="s">
        <v>5522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46293.041666666664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40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5525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4526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207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10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5518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5526</v>
      </c>
      <c r="AE747" s="431"/>
      <c r="AF747" s="460" t="s">
        <v>5029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46285.041666666664</v>
      </c>
      <c r="AN747" s="588" t="str">
        <f>IFERROR(IF(VLOOKUP(AT747,Vessel!A:I,9,FALSE)=0,"",VLOOKUP(AT747,Vessel!A:I,9,FALSE)),"")</f>
        <v/>
      </c>
      <c r="AP747" s="431" t="s">
        <v>5514</v>
      </c>
      <c r="AQ747" s="431" t="s">
        <v>80</v>
      </c>
      <c r="AR747" s="431" t="s">
        <v>5521</v>
      </c>
      <c r="AS747" s="431" t="s">
        <v>5522</v>
      </c>
      <c r="AT747" s="431" t="s">
        <v>5522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46293.041666666664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40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5527</v>
      </c>
      <c r="B748" s="463" t="s">
        <v>5198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4526</v>
      </c>
      <c r="P748" s="431" t="s">
        <v>5097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207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10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5528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5529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46285.041666666664</v>
      </c>
      <c r="AN748" s="588" t="str">
        <f>IFERROR(IF(VLOOKUP(AT748,Vessel!A:I,9,FALSE)=0,"",VLOOKUP(AT748,Vessel!A:I,9,FALSE)),"")</f>
        <v/>
      </c>
      <c r="AP748" s="431" t="s">
        <v>5514</v>
      </c>
      <c r="AQ748" s="431" t="s">
        <v>80</v>
      </c>
      <c r="AR748" s="431" t="s">
        <v>5530</v>
      </c>
      <c r="AS748" s="431" t="s">
        <v>5531</v>
      </c>
      <c r="AT748" s="431" t="s">
        <v>5531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46293.041666666664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40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5532</v>
      </c>
      <c r="B749" s="463" t="s">
        <v>5313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4526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207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10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5528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5533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46285.041666666664</v>
      </c>
      <c r="AN749" s="588" t="str">
        <f>IFERROR(IF(VLOOKUP(AT749,Vessel!A:I,9,FALSE)=0,"",VLOOKUP(AT749,Vessel!A:I,9,FALSE)),"")</f>
        <v/>
      </c>
      <c r="AP749" s="431" t="s">
        <v>5514</v>
      </c>
      <c r="AQ749" s="431" t="s">
        <v>80</v>
      </c>
      <c r="AR749" s="431" t="s">
        <v>5530</v>
      </c>
      <c r="AS749" s="431" t="s">
        <v>5531</v>
      </c>
      <c r="AT749" s="431" t="s">
        <v>5531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46293.041666666664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40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5534</v>
      </c>
      <c r="B750" s="463" t="s">
        <v>5313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4526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207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10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5535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5536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46285.041666666664</v>
      </c>
      <c r="AN750" s="588" t="str">
        <f>IFERROR(IF(VLOOKUP(AT750,Vessel!A:I,9,FALSE)=0,"",VLOOKUP(AT750,Vessel!A:I,9,FALSE)),"")</f>
        <v/>
      </c>
      <c r="AP750" s="431" t="s">
        <v>5514</v>
      </c>
      <c r="AQ750" s="431" t="s">
        <v>80</v>
      </c>
      <c r="AR750" s="431" t="s">
        <v>5530</v>
      </c>
      <c r="AS750" s="431" t="s">
        <v>5531</v>
      </c>
      <c r="AT750" s="431" t="s">
        <v>5531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46293.041666666664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40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5537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5538</v>
      </c>
      <c r="Q751" s="431" t="s">
        <v>5539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207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10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4985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5540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5514</v>
      </c>
      <c r="AQ751" s="431" t="s">
        <v>80</v>
      </c>
      <c r="AR751" s="431" t="s">
        <v>5541</v>
      </c>
      <c r="AS751" s="431" t="s">
        <v>5542</v>
      </c>
      <c r="AT751" s="431" t="s">
        <v>5542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5543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5544</v>
      </c>
      <c r="L752" s="431">
        <v>3</v>
      </c>
      <c r="M752" s="431" t="s">
        <v>840</v>
      </c>
      <c r="N752" s="433">
        <v>46202</v>
      </c>
      <c r="O752" s="431" t="s">
        <v>5331</v>
      </c>
      <c r="P752" s="460" t="s">
        <v>5332</v>
      </c>
      <c r="Q752" s="431" t="s">
        <v>5333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207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10">
        <f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5334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5545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 t="str">
        <f>IFERROR(IF(VLOOKUP(AT752,Vessel!A:I,9,FALSE)=0,"",VLOOKUP(AT752,Vessel!A:I,9,FALSE)),"")</f>
        <v/>
      </c>
      <c r="AP752" s="431" t="s">
        <v>5546</v>
      </c>
      <c r="AQ752" s="439" t="s">
        <v>80</v>
      </c>
      <c r="AR752" s="431" t="s">
        <v>5547</v>
      </c>
      <c r="AS752" s="431" t="s">
        <v>5548</v>
      </c>
      <c r="AT752" s="431" t="s">
        <v>5548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5549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5544</v>
      </c>
      <c r="L753" s="431">
        <v>2</v>
      </c>
      <c r="M753" s="431" t="s">
        <v>840</v>
      </c>
      <c r="N753" s="433">
        <v>46202</v>
      </c>
      <c r="O753" s="431" t="s">
        <v>5331</v>
      </c>
      <c r="P753" s="460" t="s">
        <v>5550</v>
      </c>
      <c r="Q753" s="431" t="s">
        <v>5551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207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10">
        <f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5552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 t="str">
        <f>IFERROR(IF(VLOOKUP(AT753,Vessel!A:I,9,FALSE)=0,"",VLOOKUP(AT753,Vessel!A:I,9,FALSE)),"")</f>
        <v/>
      </c>
      <c r="AP753" s="431" t="s">
        <v>5546</v>
      </c>
      <c r="AQ753" s="439" t="s">
        <v>80</v>
      </c>
      <c r="AR753" s="431" t="s">
        <v>5547</v>
      </c>
      <c r="AS753" s="431" t="s">
        <v>5548</v>
      </c>
      <c r="AT753" s="431" t="s">
        <v>5548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5553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207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201">
        <v>0.18</v>
      </c>
      <c r="Y754" s="431" t="s">
        <v>2460</v>
      </c>
      <c r="Z754" s="431" t="str">
        <f t="shared" si="8"/>
        <v>IN-TRANSIT</v>
      </c>
      <c r="AA754" s="431" t="s">
        <v>5554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5555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2">
        <v>46268</v>
      </c>
      <c r="AM754" s="1378">
        <f>IFERROR(VLOOKUP(AT754, Vessel!A:H, 8, FALSE), "")</f>
        <v>46280.541666666664</v>
      </c>
      <c r="AN754" s="588" t="str">
        <f>IFERROR(IF(VLOOKUP(AT754,Vessel!A:I,9,FALSE)=0,"",VLOOKUP(AT754,Vessel!A:I,9,FALSE)),"")</f>
        <v/>
      </c>
      <c r="AP754" s="431" t="s">
        <v>5546</v>
      </c>
      <c r="AQ754" s="431" t="s">
        <v>80</v>
      </c>
      <c r="AR754" s="431" t="s">
        <v>5556</v>
      </c>
      <c r="AS754" s="431" t="s">
        <v>5557</v>
      </c>
      <c r="AT754" s="431" t="s">
        <v>5557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5558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207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201">
        <f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5554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5559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2">
        <v>46268</v>
      </c>
      <c r="AM755" s="1378">
        <f>IFERROR(VLOOKUP(AT755, Vessel!A:H, 8, FALSE), "")</f>
        <v>46280.541666666664</v>
      </c>
      <c r="AN755" s="588" t="str">
        <f>IFERROR(IF(VLOOKUP(AT755,Vessel!A:I,9,FALSE)=0,"",VLOOKUP(AT755,Vessel!A:I,9,FALSE)),"")</f>
        <v/>
      </c>
      <c r="AP755" s="431" t="s">
        <v>5546</v>
      </c>
      <c r="AQ755" s="439" t="s">
        <v>80</v>
      </c>
      <c r="AR755" s="431" t="s">
        <v>5556</v>
      </c>
      <c r="AS755" s="431" t="s">
        <v>5557</v>
      </c>
      <c r="AT755" s="431" t="s">
        <v>5557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5560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4526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207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10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5561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46313.791666666664</v>
      </c>
      <c r="AN756" s="588" t="str">
        <f>IFERROR(IF(VLOOKUP(AT756,Vessel!A:I,9,FALSE)=0,"",VLOOKUP(AT756,Vessel!A:I,9,FALSE)),"")</f>
        <v/>
      </c>
      <c r="AO756" s="431"/>
      <c r="AP756" s="431" t="s">
        <v>5562</v>
      </c>
      <c r="AQ756" s="431" t="s">
        <v>80</v>
      </c>
      <c r="AR756" s="463" t="s">
        <v>5563</v>
      </c>
      <c r="AS756" s="463" t="s">
        <v>5564</v>
      </c>
      <c r="AT756" s="463" t="s">
        <v>5564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88.791666666664241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46321.791666666664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44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5565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4526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207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10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5566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46289.25</v>
      </c>
      <c r="AN757" s="588" t="str">
        <f>IFERROR(IF(VLOOKUP(AT757,Vessel!A:I,9,FALSE)=0,"",VLOOKUP(AT757,Vessel!A:I,9,FALSE)),"")</f>
        <v/>
      </c>
      <c r="AO757" s="431"/>
      <c r="AP757" s="431" t="s">
        <v>5562</v>
      </c>
      <c r="AQ757" s="431" t="s">
        <v>80</v>
      </c>
      <c r="AR757" s="431" t="s">
        <v>5567</v>
      </c>
      <c r="AS757" s="431" t="s">
        <v>5568</v>
      </c>
      <c r="AT757" s="431" t="s">
        <v>5568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46297.25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5569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4526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207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10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5570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46289.25</v>
      </c>
      <c r="AN758" s="588" t="str">
        <f>IFERROR(IF(VLOOKUP(AT758,Vessel!A:I,9,FALSE)=0,"",VLOOKUP(AT758,Vessel!A:I,9,FALSE)),"")</f>
        <v/>
      </c>
      <c r="AP758" s="431" t="s">
        <v>5562</v>
      </c>
      <c r="AQ758" s="431" t="s">
        <v>80</v>
      </c>
      <c r="AR758" s="431" t="s">
        <v>5567</v>
      </c>
      <c r="AS758" s="431" t="s">
        <v>5568</v>
      </c>
      <c r="AT758" s="431" t="s">
        <v>5568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46297.25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5571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4526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207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10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5572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5562</v>
      </c>
      <c r="AQ759" s="431" t="s">
        <v>80</v>
      </c>
      <c r="AR759" s="431" t="s">
        <v>5573</v>
      </c>
      <c r="AS759" s="431" t="s">
        <v>5574</v>
      </c>
      <c r="AT759" s="431" t="s">
        <v>5574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5575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4526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207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10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5576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5562</v>
      </c>
      <c r="AQ760" s="431" t="s">
        <v>80</v>
      </c>
      <c r="AR760" s="431" t="s">
        <v>5573</v>
      </c>
      <c r="AS760" s="431" t="s">
        <v>5574</v>
      </c>
      <c r="AT760" s="431" t="s">
        <v>5574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5577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5578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207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10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5492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5579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46298.75</v>
      </c>
      <c r="AN761" s="588"/>
      <c r="AO761" s="431"/>
      <c r="AP761" s="431" t="s">
        <v>5562</v>
      </c>
      <c r="AQ761" s="431" t="s">
        <v>80</v>
      </c>
      <c r="AR761" s="431" t="s">
        <v>5580</v>
      </c>
      <c r="AS761" s="431" t="s">
        <v>5581</v>
      </c>
      <c r="AT761" s="431" t="s">
        <v>5581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46308.75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42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5582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4526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207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10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5583</v>
      </c>
      <c r="AE762" s="431"/>
      <c r="AF762" s="460" t="s">
        <v>5029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5584</v>
      </c>
      <c r="AQ762" s="431" t="s">
        <v>80</v>
      </c>
      <c r="AR762" s="431" t="s">
        <v>5585</v>
      </c>
      <c r="AS762" s="431" t="s">
        <v>5586</v>
      </c>
      <c r="AT762" s="431" t="s">
        <v>5586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5587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4526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207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10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5588</v>
      </c>
      <c r="AE763" s="431"/>
      <c r="AF763" s="460" t="s">
        <v>5029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5584</v>
      </c>
      <c r="AQ763" s="431" t="s">
        <v>80</v>
      </c>
      <c r="AR763" s="431" t="s">
        <v>5585</v>
      </c>
      <c r="AS763" s="431" t="s">
        <v>5586</v>
      </c>
      <c r="AT763" s="431" t="s">
        <v>5586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5589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4526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207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10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5590</v>
      </c>
      <c r="AE764" s="431"/>
      <c r="AF764" s="460" t="s">
        <v>5029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5584</v>
      </c>
      <c r="AQ764" s="431" t="s">
        <v>80</v>
      </c>
      <c r="AR764" s="431" t="s">
        <v>5585</v>
      </c>
      <c r="AS764" s="431" t="s">
        <v>5586</v>
      </c>
      <c r="AT764" s="431" t="s">
        <v>5586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5591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4526</v>
      </c>
      <c r="P765" s="431" t="s">
        <v>5085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207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10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5592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5593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5594</v>
      </c>
      <c r="AQ765" s="431" t="s">
        <v>161</v>
      </c>
      <c r="AR765" s="431" t="s">
        <v>5595</v>
      </c>
      <c r="AS765" s="431" t="s">
        <v>5596</v>
      </c>
      <c r="AT765" s="431" t="s">
        <v>5596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5597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5374</v>
      </c>
      <c r="P766" s="431" t="s">
        <v>5395</v>
      </c>
      <c r="Q766" s="431" t="s">
        <v>5396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207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10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5598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5594</v>
      </c>
      <c r="AQ766" s="431" t="s">
        <v>161</v>
      </c>
      <c r="AR766" s="431" t="s">
        <v>5595</v>
      </c>
      <c r="AS766" s="431" t="s">
        <v>5596</v>
      </c>
      <c r="AT766" s="431" t="s">
        <v>5596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5599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5387</v>
      </c>
      <c r="K767" s="431" t="s">
        <v>5388</v>
      </c>
      <c r="L767" s="431">
        <v>3</v>
      </c>
      <c r="M767" s="431" t="s">
        <v>840</v>
      </c>
      <c r="N767" s="433">
        <v>46167</v>
      </c>
      <c r="O767" s="431" t="s">
        <v>4526</v>
      </c>
      <c r="P767" s="431" t="s">
        <v>4587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207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15">
        <f>PV_DATA[[#This Row],[QUANTITY]]/PV_DATA[[#This Row],[Qty/CT]]</f>
        <v>5</v>
      </c>
      <c r="Y767" s="431" t="s">
        <v>2458</v>
      </c>
      <c r="Z767" s="431" t="str">
        <f t="shared" si="9"/>
        <v>COMPLETED</v>
      </c>
      <c r="AA767" s="431" t="s">
        <v>5389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5600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46279.083333333336</v>
      </c>
      <c r="AN767" s="588">
        <f>IFERROR(IF(VLOOKUP(AT767,Vessel!A:I,9,FALSE)=0,"",VLOOKUP(AT767,Vessel!A:I,9,FALSE)),"")</f>
        <v>46279.139525462961</v>
      </c>
      <c r="AP767" s="431" t="s">
        <v>5584</v>
      </c>
      <c r="AQ767" s="431" t="s">
        <v>80</v>
      </c>
      <c r="AR767" s="431" t="s">
        <v>5601</v>
      </c>
      <c r="AS767" s="431" t="s">
        <v>5602</v>
      </c>
      <c r="AT767" s="431" t="s">
        <v>5602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46279.139525462961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5603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207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10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5518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5604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2">
        <v>46274</v>
      </c>
      <c r="AM768" s="1378">
        <f>IFERROR(VLOOKUP(AT768, Vessel!A:H, 8, FALSE), "")</f>
        <v>46272.833333333336</v>
      </c>
      <c r="AN768" s="588">
        <v>46272.833333333336</v>
      </c>
      <c r="AO768" s="431"/>
      <c r="AP768" s="431" t="s">
        <v>5605</v>
      </c>
      <c r="AQ768" s="431" t="s">
        <v>80</v>
      </c>
      <c r="AR768" s="431" t="s">
        <v>5606</v>
      </c>
      <c r="AS768" s="431" t="s">
        <v>5607</v>
      </c>
      <c r="AT768" s="431" t="s">
        <v>5607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5608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4526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207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10">
        <f>PV_DATA[[#This Row],[QUANTITY]]/PV_DATA[[#This Row],[Qty/CT]]</f>
        <v>2</v>
      </c>
      <c r="Y769" s="431" t="s">
        <v>2462</v>
      </c>
      <c r="Z769" s="431" t="str">
        <f t="shared" si="9"/>
        <v>COMPLETED</v>
      </c>
      <c r="AA769" s="431" t="s">
        <v>5609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5610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46274.999305555553</v>
      </c>
      <c r="AN769" s="588">
        <f>IFERROR(IF(VLOOKUP(AT769,Vessel!A:I,9,FALSE)=0,"",VLOOKUP(AT769,Vessel!A:I,9,FALSE)),"")</f>
        <v>46275.009525462963</v>
      </c>
      <c r="AP769" s="431" t="s">
        <v>5497</v>
      </c>
      <c r="AQ769" s="431" t="s">
        <v>80</v>
      </c>
      <c r="AR769" s="431" t="s">
        <v>5611</v>
      </c>
      <c r="AS769" s="431" t="s">
        <v>5612</v>
      </c>
      <c r="AT769" s="431" t="s">
        <v>5612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46282.009525462963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5613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4526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207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10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5609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5614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5562</v>
      </c>
      <c r="AQ770" s="431" t="s">
        <v>80</v>
      </c>
      <c r="AR770" s="431" t="s">
        <v>5615</v>
      </c>
      <c r="AS770" s="431" t="s">
        <v>5616</v>
      </c>
      <c r="AT770" s="431" t="s">
        <v>5616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5617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4526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207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10">
        <f>PV_DATA[[#This Row],[QUANTITY]]/PV_DATA[[#This Row],[Qty/CT]]</f>
        <v>2</v>
      </c>
      <c r="Y771" s="431" t="s">
        <v>2460</v>
      </c>
      <c r="Z771" s="431" t="str">
        <f t="shared" si="9"/>
        <v>COMPLETED</v>
      </c>
      <c r="AA771" s="431" t="s">
        <v>5609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5618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46275.083333333336</v>
      </c>
      <c r="AN771" s="588">
        <f>IFERROR(IF(VLOOKUP(AT771,Vessel!A:I,9,FALSE)=0,"",VLOOKUP(AT771,Vessel!A:I,9,FALSE)),"")</f>
        <v>46275.088877314818</v>
      </c>
      <c r="AP771" s="431" t="s">
        <v>5619</v>
      </c>
      <c r="AQ771" s="431" t="s">
        <v>80</v>
      </c>
      <c r="AR771" s="431" t="s">
        <v>5620</v>
      </c>
      <c r="AS771" s="431" t="s">
        <v>5621</v>
      </c>
      <c r="AT771" s="431" t="s">
        <v>5621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46282.088877314818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5622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4526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207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10">
        <f>PV_DATA[[#This Row],[QUANTITY]]/PV_DATA[[#This Row],[Qty/CT]]</f>
        <v>1</v>
      </c>
      <c r="Y772" s="431" t="s">
        <v>2461</v>
      </c>
      <c r="Z772" s="431" t="str">
        <f t="shared" si="9"/>
        <v>COMPLETED</v>
      </c>
      <c r="AA772" s="431" t="s">
        <v>5609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5623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46275.083333333336</v>
      </c>
      <c r="AN772" s="588">
        <f>IFERROR(IF(VLOOKUP(AT772,Vessel!A:I,9,FALSE)=0,"",VLOOKUP(AT772,Vessel!A:I,9,FALSE)),"")</f>
        <v>46275.088877314818</v>
      </c>
      <c r="AP772" s="431" t="s">
        <v>5619</v>
      </c>
      <c r="AQ772" s="431" t="s">
        <v>80</v>
      </c>
      <c r="AR772" s="431" t="s">
        <v>5620</v>
      </c>
      <c r="AS772" s="431" t="s">
        <v>5621</v>
      </c>
      <c r="AT772" s="431" t="s">
        <v>5621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46282.088877314818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5624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4526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207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10">
        <f>PV_DATA[[#This Row],[QUANTITY]]/PV_DATA[[#This Row],[Qty/CT]]</f>
        <v>1</v>
      </c>
      <c r="Y773" s="431" t="s">
        <v>2461</v>
      </c>
      <c r="Z773" s="431" t="str">
        <f t="shared" si="9"/>
        <v>COMPLETED</v>
      </c>
      <c r="AA773" s="431" t="s">
        <v>5625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5626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46276.625</v>
      </c>
      <c r="AN773" s="588">
        <f>IFERROR(IF(VLOOKUP(AT773,Vessel!A:I,9,FALSE)=0,"",VLOOKUP(AT773,Vessel!A:I,9,FALSE)),"")</f>
        <v>46276.681458333333</v>
      </c>
      <c r="AP773" s="431" t="s">
        <v>5627</v>
      </c>
      <c r="AQ773" s="431" t="s">
        <v>80</v>
      </c>
      <c r="AR773" s="431" t="s">
        <v>5628</v>
      </c>
      <c r="AS773" s="431" t="s">
        <v>5629</v>
      </c>
      <c r="AT773" s="431" t="s">
        <v>5629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46284.681458333333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5630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4526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207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10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5625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5631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46285.041666666664</v>
      </c>
      <c r="AN774" s="588" t="str">
        <f>IFERROR(IF(VLOOKUP(AT774,Vessel!A:I,9,FALSE)=0,"",VLOOKUP(AT774,Vessel!A:I,9,FALSE)),"")</f>
        <v/>
      </c>
      <c r="AP774" s="431" t="s">
        <v>5514</v>
      </c>
      <c r="AQ774" s="431" t="s">
        <v>80</v>
      </c>
      <c r="AR774" s="431" t="s">
        <v>5632</v>
      </c>
      <c r="AS774" s="431" t="s">
        <v>5633</v>
      </c>
      <c r="AT774" s="431" t="s">
        <v>5633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44.208414351851388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46293.041666666664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40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5634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4526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207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10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5625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5635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46313.791666666664</v>
      </c>
      <c r="AN775" s="588" t="str">
        <f>IFERROR(IF(VLOOKUP(AT775,Vessel!A:I,9,FALSE)=0,"",VLOOKUP(AT775,Vessel!A:I,9,FALSE)),"")</f>
        <v/>
      </c>
      <c r="AP775" s="431" t="s">
        <v>5636</v>
      </c>
      <c r="AQ775" s="431" t="s">
        <v>80</v>
      </c>
      <c r="AR775" s="431" t="s">
        <v>5637</v>
      </c>
      <c r="AS775" s="431" t="s">
        <v>5638</v>
      </c>
      <c r="AT775" s="431" t="s">
        <v>5638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46321.791666666664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44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5639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4526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207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10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5625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5640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46297.75</v>
      </c>
      <c r="AN776" s="588" t="str">
        <f>IFERROR(IF(VLOOKUP(AT776,Vessel!A:I,9,FALSE)=0,"",VLOOKUP(AT776,Vessel!A:I,9,FALSE)),"")</f>
        <v/>
      </c>
      <c r="AP776" s="431" t="s">
        <v>5641</v>
      </c>
      <c r="AQ776" s="431" t="s">
        <v>80</v>
      </c>
      <c r="AR776" s="431" t="s">
        <v>5642</v>
      </c>
      <c r="AS776" s="431" t="s">
        <v>5643</v>
      </c>
      <c r="AT776" s="431" t="s">
        <v>5643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67.75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46305.75</v>
      </c>
      <c r="BB776" s="434">
        <f>YEAR(PV_DATA[[#This Row],[ETA for New Ark update]])</f>
        <v>2026</v>
      </c>
      <c r="BC776" s="431">
        <f>MONTH(PV_DATA[[#This Row],[ETA for New Ark update]])</f>
        <v>10</v>
      </c>
      <c r="BD776" s="431">
        <f>IFERROR(_xlfn.ISOWEEKNUM(PV_DATA[[#This Row],[ETA for New Ark update]]),0)</f>
        <v>41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5644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5331</v>
      </c>
      <c r="P777" s="431" t="s">
        <v>5332</v>
      </c>
      <c r="Q777" s="431" t="s">
        <v>5333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207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10">
        <f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5645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5646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 t="str">
        <f>IFERROR(IF(VLOOKUP(AT777,Vessel!A:I,9,FALSE)=0,"",VLOOKUP(AT777,Vessel!A:I,9,FALSE)),"")</f>
        <v/>
      </c>
      <c r="AP777" s="431" t="s">
        <v>5546</v>
      </c>
      <c r="AQ777" s="431" t="s">
        <v>80</v>
      </c>
      <c r="AR777" s="431" t="s">
        <v>5647</v>
      </c>
      <c r="AS777" s="431" t="s">
        <v>5648</v>
      </c>
      <c r="AT777" s="431" t="s">
        <v>5648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5649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4526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207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10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5650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5651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46290.458333333336</v>
      </c>
      <c r="AN778" s="588" t="str">
        <f>IFERROR(IF(VLOOKUP(AT778,Vessel!A:I,9,FALSE)=0,"",VLOOKUP(AT778,Vessel!A:I,9,FALSE)),"")</f>
        <v/>
      </c>
      <c r="AP778" s="431" t="s">
        <v>5594</v>
      </c>
      <c r="AQ778" s="431" t="s">
        <v>80</v>
      </c>
      <c r="AR778" s="431" t="s">
        <v>5652</v>
      </c>
      <c r="AS778" s="431" t="s">
        <v>5653</v>
      </c>
      <c r="AT778" s="431" t="s">
        <v>5653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61.458333333335759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46297.458333333336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5654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5578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207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10">
        <f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5655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 t="str">
        <f>IFERROR(IF(VLOOKUP(AT779,Vessel!A:I,9,FALSE)=0,"",VLOOKUP(AT779,Vessel!A:I,9,FALSE)),"")</f>
        <v/>
      </c>
      <c r="AP779" s="431" t="s">
        <v>5594</v>
      </c>
      <c r="AQ779" s="431" t="s">
        <v>80</v>
      </c>
      <c r="AR779" s="431" t="s">
        <v>5656</v>
      </c>
      <c r="AS779" s="431" t="s">
        <v>5657</v>
      </c>
      <c r="AT779" s="431" t="s">
        <v>5657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46286.958333333336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5658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207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10">
        <f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5045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5659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 t="str">
        <f>IFERROR(IF(VLOOKUP(AT780,Vessel!A:I,9,FALSE)=0,"",VLOOKUP(AT780,Vessel!A:I,9,FALSE)),"")</f>
        <v/>
      </c>
      <c r="AP780" s="431" t="s">
        <v>5594</v>
      </c>
      <c r="AQ780" s="431" t="s">
        <v>80</v>
      </c>
      <c r="AR780" s="431" t="s">
        <v>5656</v>
      </c>
      <c r="AS780" s="431" t="s">
        <v>5657</v>
      </c>
      <c r="AT780" s="431" t="s">
        <v>5657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46286.958333333336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5660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5661</v>
      </c>
      <c r="K781" s="431"/>
      <c r="L781" s="431"/>
      <c r="M781" s="431" t="s">
        <v>68</v>
      </c>
      <c r="N781" s="433">
        <v>46209</v>
      </c>
      <c r="O781" s="431" t="s">
        <v>4526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207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10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5662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5663</v>
      </c>
      <c r="AE781" s="431"/>
      <c r="AF781" s="460" t="s">
        <v>5029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46286.375</v>
      </c>
      <c r="AN781" s="588" t="str">
        <f>IFERROR(IF(VLOOKUP(AT781,Vessel!A:I,9,FALSE)=0,"",VLOOKUP(AT781,Vessel!A:I,9,FALSE)),"")</f>
        <v/>
      </c>
      <c r="AP781" s="431" t="s">
        <v>5664</v>
      </c>
      <c r="AQ781" s="439" t="s">
        <v>80</v>
      </c>
      <c r="AR781" s="431" t="s">
        <v>5665</v>
      </c>
      <c r="AS781" s="431" t="s">
        <v>5666</v>
      </c>
      <c r="AT781" s="431" t="s">
        <v>5666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46293.375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5667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207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10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5668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2">
        <v>46278</v>
      </c>
      <c r="AM782" s="1381">
        <f>IFERROR(VLOOKUP(AT782, Vessel!A:H, 8, FALSE), "")</f>
        <v>46286.375</v>
      </c>
      <c r="AN782" s="588" t="str">
        <f>IFERROR(IF(VLOOKUP(AT782,Vessel!A:I,9,FALSE)=0,"",VLOOKUP(AT782,Vessel!A:I,9,FALSE)),"")</f>
        <v/>
      </c>
      <c r="AP782" s="431" t="s">
        <v>5664</v>
      </c>
      <c r="AQ782" s="431" t="s">
        <v>80</v>
      </c>
      <c r="AR782" s="431" t="s">
        <v>5669</v>
      </c>
      <c r="AS782" s="431" t="s">
        <v>5670</v>
      </c>
      <c r="AT782" s="431" t="s">
        <v>5670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46293.375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5671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207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10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5672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2">
        <v>46278</v>
      </c>
      <c r="AM783" s="1381">
        <f>IFERROR(VLOOKUP(AT783, Vessel!A:H, 8, FALSE), "")</f>
        <v>46286.375</v>
      </c>
      <c r="AN783" s="588" t="str">
        <f>IFERROR(IF(VLOOKUP(AT783,Vessel!A:I,9,FALSE)=0,"",VLOOKUP(AT783,Vessel!A:I,9,FALSE)),"")</f>
        <v/>
      </c>
      <c r="AP783" s="431" t="s">
        <v>5664</v>
      </c>
      <c r="AQ783" s="431" t="s">
        <v>80</v>
      </c>
      <c r="AR783" s="431" t="s">
        <v>5669</v>
      </c>
      <c r="AS783" s="431" t="s">
        <v>5670</v>
      </c>
      <c r="AT783" s="431" t="s">
        <v>5670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46293.375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5673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207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10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5042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5674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8"/>
      <c r="AP784" s="431" t="s">
        <v>5675</v>
      </c>
      <c r="AQ784" s="431" t="s">
        <v>161</v>
      </c>
      <c r="AR784" s="431" t="s">
        <v>5676</v>
      </c>
      <c r="AS784" s="431" t="s">
        <v>5677</v>
      </c>
      <c r="AT784" s="431" t="s">
        <v>5678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5679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5374</v>
      </c>
      <c r="P785" s="431" t="s">
        <v>5375</v>
      </c>
      <c r="Q785" s="431" t="s">
        <v>5376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207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10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5417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5680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8"/>
      <c r="AP785" s="431" t="s">
        <v>5675</v>
      </c>
      <c r="AQ785" s="431" t="s">
        <v>161</v>
      </c>
      <c r="AR785" s="431" t="s">
        <v>5676</v>
      </c>
      <c r="AS785" s="431" t="s">
        <v>5677</v>
      </c>
      <c r="AT785" s="431" t="s">
        <v>5678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5681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207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10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5682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8"/>
      <c r="AP786" s="431" t="s">
        <v>5675</v>
      </c>
      <c r="AQ786" s="431" t="s">
        <v>161</v>
      </c>
      <c r="AR786" s="431" t="s">
        <v>5676</v>
      </c>
      <c r="AS786" s="431" t="s">
        <v>5677</v>
      </c>
      <c r="AT786" s="431" t="s">
        <v>5678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5683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5374</v>
      </c>
      <c r="P787" s="431" t="s">
        <v>5375</v>
      </c>
      <c r="Q787" s="431" t="s">
        <v>5376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207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10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5381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5684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8"/>
      <c r="AP787" s="431" t="s">
        <v>5675</v>
      </c>
      <c r="AQ787" s="431" t="s">
        <v>161</v>
      </c>
      <c r="AR787" s="431" t="s">
        <v>5676</v>
      </c>
      <c r="AS787" s="431" t="s">
        <v>5677</v>
      </c>
      <c r="AT787" s="431" t="s">
        <v>5678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5685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207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10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5686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2">
        <v>46277</v>
      </c>
      <c r="AM788" s="1379"/>
      <c r="AN788" s="588"/>
      <c r="AP788" s="431" t="s">
        <v>5675</v>
      </c>
      <c r="AQ788" s="431" t="s">
        <v>161</v>
      </c>
      <c r="AR788" s="431" t="s">
        <v>5676</v>
      </c>
      <c r="AS788" s="431" t="s">
        <v>5677</v>
      </c>
      <c r="AT788" s="431" t="s">
        <v>5678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5687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207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10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5688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8"/>
      <c r="AP789" s="431" t="s">
        <v>5675</v>
      </c>
      <c r="AQ789" s="431" t="s">
        <v>161</v>
      </c>
      <c r="AR789" s="431" t="s">
        <v>5676</v>
      </c>
      <c r="AS789" s="431" t="s">
        <v>5677</v>
      </c>
      <c r="AT789" s="431" t="s">
        <v>5678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5689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4586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4526</v>
      </c>
      <c r="P790" s="431" t="s">
        <v>5052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207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10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5402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5690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8"/>
      <c r="AP790" s="431" t="s">
        <v>5675</v>
      </c>
      <c r="AQ790" s="431" t="s">
        <v>161</v>
      </c>
      <c r="AR790" s="431" t="s">
        <v>5691</v>
      </c>
      <c r="AS790" s="431" t="s">
        <v>5692</v>
      </c>
      <c r="AT790" s="431" t="s">
        <v>5693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5694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4586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4526</v>
      </c>
      <c r="P791" s="431" t="s">
        <v>5052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207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10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5402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5695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8"/>
      <c r="AP791" s="431" t="s">
        <v>5675</v>
      </c>
      <c r="AQ791" s="431" t="s">
        <v>161</v>
      </c>
      <c r="AR791" s="431" t="s">
        <v>5691</v>
      </c>
      <c r="AS791" s="431" t="s">
        <v>5692</v>
      </c>
      <c r="AT791" s="431" t="s">
        <v>5693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5696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4586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4526</v>
      </c>
      <c r="P792" s="431" t="s">
        <v>5036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207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10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5402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5697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8"/>
      <c r="AO792" s="431"/>
      <c r="AP792" s="431" t="s">
        <v>5675</v>
      </c>
      <c r="AQ792" s="431" t="s">
        <v>161</v>
      </c>
      <c r="AR792" s="431" t="s">
        <v>5691</v>
      </c>
      <c r="AS792" s="431" t="s">
        <v>5692</v>
      </c>
      <c r="AT792" s="431" t="s">
        <v>5693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5698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5387</v>
      </c>
      <c r="K793" s="431" t="s">
        <v>5388</v>
      </c>
      <c r="L793" s="431">
        <v>5</v>
      </c>
      <c r="M793" s="431" t="s">
        <v>840</v>
      </c>
      <c r="N793" s="433">
        <v>46167</v>
      </c>
      <c r="O793" s="431" t="s">
        <v>4526</v>
      </c>
      <c r="P793" s="431" t="s">
        <v>4587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207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15">
        <v>6</v>
      </c>
      <c r="Y793" s="431" t="s">
        <v>2458</v>
      </c>
      <c r="Z793" s="431" t="str">
        <f t="shared" si="9"/>
        <v>IN-TRANSIT</v>
      </c>
      <c r="AA793" s="431" t="s">
        <v>5389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5699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46279.958333333336</v>
      </c>
      <c r="AN793" s="588" t="str">
        <f>IFERROR(IF(VLOOKUP(AT793,Vessel!A:I,9,FALSE)=0,"",VLOOKUP(AT793,Vessel!A:I,9,FALSE)),"")</f>
        <v/>
      </c>
      <c r="AP793" s="431" t="s">
        <v>5594</v>
      </c>
      <c r="AQ793" s="431" t="s">
        <v>80</v>
      </c>
      <c r="AR793" s="431" t="s">
        <v>5700</v>
      </c>
      <c r="AS793" s="431" t="s">
        <v>5701</v>
      </c>
      <c r="AT793" s="431" t="s">
        <v>5701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46279.958333333336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5702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5394</v>
      </c>
      <c r="L794" s="431">
        <v>2</v>
      </c>
      <c r="M794" s="431" t="s">
        <v>840</v>
      </c>
      <c r="N794" s="433">
        <v>46202</v>
      </c>
      <c r="O794" s="431" t="s">
        <v>5374</v>
      </c>
      <c r="P794" s="431" t="s">
        <v>5395</v>
      </c>
      <c r="Q794" s="431" t="s">
        <v>5396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207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10">
        <f>PV_DATA[[#This Row],[QUANTITY]]/PV_DATA[[#This Row],[Qty/CT]]</f>
        <v>4</v>
      </c>
      <c r="Y794" s="431" t="s">
        <v>2460</v>
      </c>
      <c r="Z794" s="431" t="str">
        <f t="shared" si="9"/>
        <v>COMPLETED</v>
      </c>
      <c r="AA794" s="431" t="s">
        <v>5397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5703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>
        <f>IFERROR(IF(VLOOKUP(AT794,Vessel!A:I,9,FALSE)=0,"",VLOOKUP(AT794,Vessel!A:I,9,FALSE)),"")</f>
        <v>46279.935393518521</v>
      </c>
      <c r="AP794" s="431" t="s">
        <v>5594</v>
      </c>
      <c r="AQ794" s="431" t="s">
        <v>80</v>
      </c>
      <c r="AR794" s="431" t="s">
        <v>5704</v>
      </c>
      <c r="AS794" s="464" t="s">
        <v>5705</v>
      </c>
      <c r="AT794" s="464" t="s">
        <v>5705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46279.935393518521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5706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5374</v>
      </c>
      <c r="P795" s="431" t="s">
        <v>5375</v>
      </c>
      <c r="Q795" s="431" t="s">
        <v>5376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207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10">
        <f>PV_DATA[[#This Row],[QUANTITY]]/PV_DATA[[#This Row],[Qty/CT]]</f>
        <v>1</v>
      </c>
      <c r="Y795" s="431" t="s">
        <v>2460</v>
      </c>
      <c r="Z795" s="431" t="str">
        <f t="shared" si="9"/>
        <v>COMPLETED</v>
      </c>
      <c r="AA795" s="431" t="s">
        <v>5417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5707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>
        <f>IFERROR(IF(VLOOKUP(AT795,Vessel!A:I,9,FALSE)=0,"",VLOOKUP(AT795,Vessel!A:I,9,FALSE)),"")</f>
        <v>46279.935393518521</v>
      </c>
      <c r="AP795" s="431" t="s">
        <v>5594</v>
      </c>
      <c r="AQ795" s="431" t="s">
        <v>80</v>
      </c>
      <c r="AR795" s="431" t="s">
        <v>5708</v>
      </c>
      <c r="AS795" s="486" t="s">
        <v>5709</v>
      </c>
      <c r="AT795" s="486" t="s">
        <v>5705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46286.935393518521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5710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5374</v>
      </c>
      <c r="P796" s="431" t="s">
        <v>5395</v>
      </c>
      <c r="Q796" s="431" t="s">
        <v>5396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207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10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5711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5712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5713</v>
      </c>
      <c r="AQ796" s="439" t="s">
        <v>80</v>
      </c>
      <c r="AR796" s="431" t="s">
        <v>5714</v>
      </c>
      <c r="AS796" s="431" t="s">
        <v>5715</v>
      </c>
      <c r="AT796" s="431" t="s">
        <v>5715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5716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207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10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5717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5713</v>
      </c>
      <c r="AQ797" s="431" t="s">
        <v>80</v>
      </c>
      <c r="AR797" s="431" t="s">
        <v>5714</v>
      </c>
      <c r="AS797" s="431" t="s">
        <v>5715</v>
      </c>
      <c r="AT797" s="431" t="s">
        <v>5715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5718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9" t="str">
        <f>_xlfn.XLOOKUP(PV_DATA[[#This Row],[New Ark SKU]],Table9[New Ark SKU],Table9[Cable],,0)</f>
        <v>±1350mm</v>
      </c>
      <c r="T798" s="989">
        <v>515</v>
      </c>
      <c r="U798" s="1214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12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90">
        <f>IF(PV_DATA[[#This Row],[Pick-Up Date]]&lt;&gt;"",_xlfn.ISOWEEKNUM(PV_DATA[[#This Row],[Pick-Up Date]]),"")</f>
        <v>34</v>
      </c>
      <c r="AD798" s="463" t="s">
        <v>5719</v>
      </c>
      <c r="AE798" s="463" t="s">
        <v>5719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7">
        <v>46295</v>
      </c>
      <c r="AM798" s="1107">
        <f>IFERROR(VLOOKUP(AT798, Vessel!A:H, 8, FALSE), "")</f>
        <v>46315.083333333336</v>
      </c>
      <c r="AN798" s="992" t="str">
        <f>IFERROR(IF(VLOOKUP(AT798,Vessel!A:I,9,FALSE)=0,"",VLOOKUP(AT798,Vessel!A:I,9,FALSE)),"")</f>
        <v/>
      </c>
      <c r="AP798" s="463" t="s">
        <v>5720</v>
      </c>
      <c r="AQ798" s="463" t="s">
        <v>80</v>
      </c>
      <c r="AR798" s="463" t="s">
        <v>5721</v>
      </c>
      <c r="AS798" s="463" t="s">
        <v>5722</v>
      </c>
      <c r="AT798" s="463" t="s">
        <v>5722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51.600000000005821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46315.083333333336</v>
      </c>
      <c r="AX7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46325.083333333336</v>
      </c>
      <c r="BB798" s="989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5723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5374</v>
      </c>
      <c r="P799" s="463" t="s">
        <v>5395</v>
      </c>
      <c r="Q799" s="463" t="s">
        <v>5396</v>
      </c>
      <c r="R799" s="463" t="str">
        <f>_xlfn.XLOOKUP(PV_DATA[[#This Row],[New Ark SKU]],Table9[New Ark SKU],Table9[Connector],,0)</f>
        <v>EVO2A</v>
      </c>
      <c r="S799" s="989" t="str">
        <f>_xlfn.XLOOKUP(PV_DATA[[#This Row],[New Ark SKU]],Table9[New Ark SKU],Table9[Cable],,0)</f>
        <v>±1200mm</v>
      </c>
      <c r="T799" s="989">
        <v>465</v>
      </c>
      <c r="U799" s="1214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12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5518</v>
      </c>
      <c r="AB799" s="715">
        <v>46252</v>
      </c>
      <c r="AC799" s="990">
        <f>IF(PV_DATA[[#This Row],[Pick-Up Date]]&lt;&gt;"",_xlfn.ISOWEEKNUM(PV_DATA[[#This Row],[Pick-Up Date]]),"")</f>
        <v>34</v>
      </c>
      <c r="AD799" s="463" t="s">
        <v>5724</v>
      </c>
      <c r="AE799" s="463" t="s">
        <v>5724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46317.75</v>
      </c>
      <c r="AN799" s="992" t="str">
        <f>IFERROR(IF(VLOOKUP(AT799,Vessel!A:I,9,FALSE)=0,"",VLOOKUP(AT799,Vessel!A:I,9,FALSE)),"")</f>
        <v/>
      </c>
      <c r="AP799" s="463" t="s">
        <v>5720</v>
      </c>
      <c r="AQ799" s="463" t="s">
        <v>80</v>
      </c>
      <c r="AR799" s="463" t="s">
        <v>5725</v>
      </c>
      <c r="AS799" s="463" t="s">
        <v>5726</v>
      </c>
      <c r="AT799" s="463" t="s">
        <v>5726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7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46325.75</v>
      </c>
      <c r="BB799" s="989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5727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9" t="str">
        <f>_xlfn.XLOOKUP(PV_DATA[[#This Row],[New Ark SKU]],Table9[New Ark SKU],Table9[Cable],,0)</f>
        <v>±1350mm</v>
      </c>
      <c r="T800" s="989">
        <v>510</v>
      </c>
      <c r="U800" s="1214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12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5518</v>
      </c>
      <c r="AB800" s="715">
        <v>46252</v>
      </c>
      <c r="AC800" s="990">
        <f>IF(PV_DATA[[#This Row],[Pick-Up Date]]&lt;&gt;"",_xlfn.ISOWEEKNUM(PV_DATA[[#This Row],[Pick-Up Date]]),"")</f>
        <v>34</v>
      </c>
      <c r="AD800" s="463" t="s">
        <v>5728</v>
      </c>
      <c r="AE800" s="463" t="s">
        <v>5728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7">
        <v>46300</v>
      </c>
      <c r="AM800" s="1383">
        <f>IFERROR(VLOOKUP(AT800, Vessel!A:H, 8, FALSE), "")</f>
        <v>46317.75</v>
      </c>
      <c r="AN800" s="992" t="str">
        <f>IFERROR(IF(VLOOKUP(AT800,Vessel!A:I,9,FALSE)=0,"",VLOOKUP(AT800,Vessel!A:I,9,FALSE)),"")</f>
        <v/>
      </c>
      <c r="AP800" s="463" t="s">
        <v>5720</v>
      </c>
      <c r="AQ800" s="463" t="s">
        <v>80</v>
      </c>
      <c r="AR800" s="463" t="s">
        <v>5725</v>
      </c>
      <c r="AS800" s="463" t="s">
        <v>5726</v>
      </c>
      <c r="AT800" s="463" t="s">
        <v>5726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46325.75</v>
      </c>
      <c r="BB800" s="989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5729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5374</v>
      </c>
      <c r="P801" s="463" t="s">
        <v>5730</v>
      </c>
      <c r="Q801" s="463" t="s">
        <v>5731</v>
      </c>
      <c r="R801" s="463" t="str">
        <f>_xlfn.XLOOKUP(PV_DATA[[#This Row],[New Ark SKU]],Table9[New Ark SKU],Table9[Connector],,0)</f>
        <v>EVO2A</v>
      </c>
      <c r="S801" s="989" t="str">
        <f>_xlfn.XLOOKUP(PV_DATA[[#This Row],[New Ark SKU]],Table9[New Ark SKU],Table9[Cable],,0)</f>
        <v>±1200mm</v>
      </c>
      <c r="T801" s="989">
        <v>475</v>
      </c>
      <c r="U801" s="1214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12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90">
        <f>IF(PV_DATA[[#This Row],[Pick-Up Date]]&lt;&gt;"",_xlfn.ISOWEEKNUM(PV_DATA[[#This Row],[Pick-Up Date]]),"")</f>
        <v>34</v>
      </c>
      <c r="AD801" s="463" t="s">
        <v>5732</v>
      </c>
      <c r="AE801" s="463" t="s">
        <v>5732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46317.75</v>
      </c>
      <c r="AN801" s="992" t="str">
        <f>IFERROR(IF(VLOOKUP(AT801,Vessel!A:I,9,FALSE)=0,"",VLOOKUP(AT801,Vessel!A:I,9,FALSE)),"")</f>
        <v/>
      </c>
      <c r="AP801" s="463" t="s">
        <v>5720</v>
      </c>
      <c r="AQ801" s="463" t="s">
        <v>80</v>
      </c>
      <c r="AR801" s="463" t="s">
        <v>5725</v>
      </c>
      <c r="AS801" s="463" t="s">
        <v>5726</v>
      </c>
      <c r="AT801" s="463" t="s">
        <v>5726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46325.75</v>
      </c>
      <c r="BB801" s="989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5733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207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10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5734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2">
        <v>46281</v>
      </c>
      <c r="AM802" s="1378">
        <f>IFERROR(VLOOKUP(AT802, Vessel!A:H, 8, FALSE), "")</f>
        <v>46282.833333333336</v>
      </c>
      <c r="AN802" s="588" t="str">
        <f>IFERROR(IF(VLOOKUP(AT802,Vessel!A:I,9,FALSE)=0,"",VLOOKUP(AT802,Vessel!A:I,9,FALSE)),"")</f>
        <v/>
      </c>
      <c r="AO802" s="431"/>
      <c r="AP802" s="431" t="s">
        <v>5735</v>
      </c>
      <c r="AQ802" s="431" t="s">
        <v>80</v>
      </c>
      <c r="AR802" s="431" t="s">
        <v>5736</v>
      </c>
      <c r="AS802" s="431" t="s">
        <v>5737</v>
      </c>
      <c r="AT802" s="431" t="s">
        <v>5737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41.021099537036207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46290.833333333336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5738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5331</v>
      </c>
      <c r="P803" s="431" t="s">
        <v>5332</v>
      </c>
      <c r="Q803" s="431" t="s">
        <v>5333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215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10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5662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5739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5740</v>
      </c>
      <c r="AQ803" s="439" t="s">
        <v>80</v>
      </c>
      <c r="AR803" s="431" t="s">
        <v>5741</v>
      </c>
      <c r="AS803" s="431" t="s">
        <v>5742</v>
      </c>
      <c r="AT803" s="431" t="s">
        <v>5742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5743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5744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215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10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5745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5746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5747</v>
      </c>
      <c r="AQ804" s="431" t="s">
        <v>161</v>
      </c>
      <c r="AR804" s="431" t="s">
        <v>5748</v>
      </c>
      <c r="AS804" s="431" t="s">
        <v>5749</v>
      </c>
      <c r="AT804" s="431" t="s">
        <v>5750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5751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215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10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5752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5747</v>
      </c>
      <c r="AQ805" s="431" t="s">
        <v>161</v>
      </c>
      <c r="AR805" s="431" t="s">
        <v>5748</v>
      </c>
      <c r="AS805" s="431" t="s">
        <v>5749</v>
      </c>
      <c r="AT805" s="431" t="s">
        <v>5750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5753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207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10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5754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5747</v>
      </c>
      <c r="AQ806" s="431" t="s">
        <v>161</v>
      </c>
      <c r="AR806" s="431" t="s">
        <v>5748</v>
      </c>
      <c r="AS806" s="431" t="s">
        <v>5749</v>
      </c>
      <c r="AT806" s="431" t="s">
        <v>5750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5755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4526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207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10">
        <f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5662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5756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 t="str">
        <f>IFERROR(IF(VLOOKUP(AT807,Vessel!A:I,9,FALSE)=0,"",VLOOKUP(AT807,Vessel!A:I,9,FALSE)),"")</f>
        <v/>
      </c>
      <c r="AP807" s="431" t="s">
        <v>5594</v>
      </c>
      <c r="AQ807" s="431" t="s">
        <v>80</v>
      </c>
      <c r="AR807" s="431" t="s">
        <v>5757</v>
      </c>
      <c r="AS807" s="431" t="s">
        <v>5758</v>
      </c>
      <c r="AT807" s="431" t="s">
        <v>5758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5759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4526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207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10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5760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46282.833333333336</v>
      </c>
      <c r="AN808" s="590" t="str">
        <f>IFERROR(IF(VLOOKUP(AT808,Vessel!A:I,9,FALSE)=0,"",VLOOKUP(AT808,Vessel!A:I,9,FALSE)),"")</f>
        <v/>
      </c>
      <c r="AP808" s="431" t="s">
        <v>5761</v>
      </c>
      <c r="AQ808" s="431" t="s">
        <v>80</v>
      </c>
      <c r="AR808" s="431" t="s">
        <v>5762</v>
      </c>
      <c r="AS808" s="431" t="s">
        <v>5763</v>
      </c>
      <c r="AT808" s="431" t="s">
        <v>5763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43.833333333335759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46290.833333333336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5764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5331</v>
      </c>
      <c r="P809" s="431" t="s">
        <v>5550</v>
      </c>
      <c r="Q809" s="431" t="s">
        <v>5551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215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10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5645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5765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5740</v>
      </c>
      <c r="AQ809" s="431" t="s">
        <v>80</v>
      </c>
      <c r="AR809" s="431" t="s">
        <v>5766</v>
      </c>
      <c r="AS809" s="431" t="s">
        <v>5767</v>
      </c>
      <c r="AT809" s="431" t="s">
        <v>5767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5768</v>
      </c>
      <c r="B810" s="463" t="s">
        <v>5769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2706</v>
      </c>
      <c r="I810" s="463" t="s">
        <v>1395</v>
      </c>
      <c r="J810" s="431" t="s">
        <v>2706</v>
      </c>
      <c r="K810" s="431" t="s">
        <v>5770</v>
      </c>
      <c r="L810" s="431">
        <v>1</v>
      </c>
      <c r="M810" s="431" t="s">
        <v>4962</v>
      </c>
      <c r="N810" s="433">
        <v>46223</v>
      </c>
      <c r="O810" s="431" t="s">
        <v>4526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215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10">
        <f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5771</v>
      </c>
      <c r="AE810" s="431"/>
      <c r="AF810" s="460" t="s">
        <v>1525</v>
      </c>
      <c r="AG810" s="460" t="s">
        <v>1525</v>
      </c>
      <c r="AH810" s="431" t="s">
        <v>5772</v>
      </c>
      <c r="AI810" s="715">
        <v>46244</v>
      </c>
      <c r="AK810" s="438">
        <v>46246</v>
      </c>
      <c r="AL810" s="438">
        <v>46279</v>
      </c>
      <c r="AM810" s="438">
        <v>46279</v>
      </c>
      <c r="AN810" s="590"/>
      <c r="AP810" s="431" t="s">
        <v>5773</v>
      </c>
      <c r="AQ810" s="439" t="s">
        <v>161</v>
      </c>
      <c r="AR810" s="431" t="s">
        <v>5774</v>
      </c>
      <c r="AS810" s="431" t="s">
        <v>5775</v>
      </c>
      <c r="AT810" s="431" t="s">
        <v>5776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5777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5778</v>
      </c>
      <c r="I811" s="463" t="s">
        <v>689</v>
      </c>
      <c r="J811" s="431" t="s">
        <v>5778</v>
      </c>
      <c r="K811" s="431" t="s">
        <v>5779</v>
      </c>
      <c r="L811" s="431">
        <v>2</v>
      </c>
      <c r="M811" s="431" t="s">
        <v>4962</v>
      </c>
      <c r="N811" s="433">
        <v>46188</v>
      </c>
      <c r="O811" s="431" t="s">
        <v>4526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207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10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5780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5781</v>
      </c>
      <c r="AE811" s="431"/>
      <c r="AF811" s="431" t="s">
        <v>61</v>
      </c>
      <c r="AG811" s="431" t="s">
        <v>61</v>
      </c>
      <c r="AH811" s="431" t="s">
        <v>5782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5783</v>
      </c>
      <c r="AQ811" s="431" t="s">
        <v>161</v>
      </c>
      <c r="AR811" s="431" t="s">
        <v>5784</v>
      </c>
      <c r="AS811" s="431" t="s">
        <v>5785</v>
      </c>
      <c r="AT811" s="431" t="s">
        <v>5785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5786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5787</v>
      </c>
      <c r="K812" s="431" t="s">
        <v>2253</v>
      </c>
      <c r="L812" s="431">
        <v>5</v>
      </c>
      <c r="M812" s="431" t="s">
        <v>4962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207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10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5788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5789</v>
      </c>
      <c r="AQ812" s="431" t="s">
        <v>161</v>
      </c>
      <c r="AR812" s="431" t="s">
        <v>5790</v>
      </c>
      <c r="AS812" s="431" t="s">
        <v>5791</v>
      </c>
      <c r="AT812" s="431" t="s">
        <v>5792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5793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4526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207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10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5650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5794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5795</v>
      </c>
      <c r="AQ813" s="431" t="s">
        <v>80</v>
      </c>
      <c r="AR813" s="431" t="s">
        <v>5796</v>
      </c>
      <c r="AS813" s="431" t="s">
        <v>5797</v>
      </c>
      <c r="AT813" s="431" t="s">
        <v>5797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5798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4526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207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10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5799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5795</v>
      </c>
      <c r="AQ814" s="431" t="s">
        <v>80</v>
      </c>
      <c r="AR814" s="431" t="s">
        <v>5800</v>
      </c>
      <c r="AS814" s="431" t="s">
        <v>5801</v>
      </c>
      <c r="AT814" s="431" t="s">
        <v>5801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5802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4526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207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10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5803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5804</v>
      </c>
      <c r="AQ815" s="431" t="s">
        <v>161</v>
      </c>
      <c r="AR815" s="431" t="s">
        <v>5805</v>
      </c>
      <c r="AS815" s="431"/>
      <c r="AT815" s="431" t="s">
        <v>5806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5807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5578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207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10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5808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5804</v>
      </c>
      <c r="AQ816" s="431" t="s">
        <v>161</v>
      </c>
      <c r="AR816" s="431" t="s">
        <v>5805</v>
      </c>
      <c r="AS816" s="431"/>
      <c r="AT816" s="431" t="s">
        <v>5806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5809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216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11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5045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5810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46284.427083333336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5795</v>
      </c>
      <c r="AQ817" s="874" t="s">
        <v>80</v>
      </c>
      <c r="AR817" s="869" t="s">
        <v>5811</v>
      </c>
      <c r="AS817" s="869" t="s">
        <v>5812</v>
      </c>
      <c r="AT817" s="869" t="s">
        <v>5812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46291.427083333336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5813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5578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207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10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5814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46284.427083333336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5795</v>
      </c>
      <c r="AQ818" s="439" t="s">
        <v>80</v>
      </c>
      <c r="AR818" s="431" t="s">
        <v>5811</v>
      </c>
      <c r="AS818" s="431" t="s">
        <v>5812</v>
      </c>
      <c r="AT818" s="431" t="s">
        <v>5812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46291.427083333336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5815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4526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207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10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5816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46317.75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5795</v>
      </c>
      <c r="AQ819" s="431" t="s">
        <v>80</v>
      </c>
      <c r="AR819" s="431" t="s">
        <v>5817</v>
      </c>
      <c r="AS819" s="431" t="s">
        <v>5818</v>
      </c>
      <c r="AT819" s="431" t="s">
        <v>5818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81.57943287037051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46325.75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5819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4526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207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10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5820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46297.75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5795</v>
      </c>
      <c r="AQ820" s="431" t="s">
        <v>80</v>
      </c>
      <c r="AR820" s="431" t="s">
        <v>5821</v>
      </c>
      <c r="AS820" s="431" t="s">
        <v>5822</v>
      </c>
      <c r="AT820" s="431" t="s">
        <v>5822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61.57943287037051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46305.75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5823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0"/>
      <c r="L821" s="431"/>
      <c r="M821" s="431" t="s">
        <v>68</v>
      </c>
      <c r="N821" s="433">
        <v>46202</v>
      </c>
      <c r="O821" s="431" t="s">
        <v>284</v>
      </c>
      <c r="P821" s="431" t="s">
        <v>5578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207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10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5492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5824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5795</v>
      </c>
      <c r="AQ821" s="439" t="s">
        <v>80</v>
      </c>
      <c r="AR821" s="431" t="s">
        <v>5825</v>
      </c>
      <c r="AS821" s="431" t="s">
        <v>5826</v>
      </c>
      <c r="AT821" s="431" t="s">
        <v>5826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5827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5578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207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10">
        <f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5492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5828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5795</v>
      </c>
      <c r="AQ822" s="439" t="s">
        <v>80</v>
      </c>
      <c r="AR822" s="431" t="s">
        <v>5829</v>
      </c>
      <c r="AS822" s="431" t="s">
        <v>5830</v>
      </c>
      <c r="AT822" s="431" t="s">
        <v>5830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5831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5778</v>
      </c>
      <c r="I823" s="463" t="s">
        <v>689</v>
      </c>
      <c r="J823" s="463" t="s">
        <v>5778</v>
      </c>
      <c r="K823" s="463" t="s">
        <v>5779</v>
      </c>
      <c r="L823" s="463">
        <v>1</v>
      </c>
      <c r="M823" s="463" t="s">
        <v>4962</v>
      </c>
      <c r="N823" s="714">
        <v>46167</v>
      </c>
      <c r="O823" s="463" t="s">
        <v>4526</v>
      </c>
      <c r="P823" s="463" t="s">
        <v>4592</v>
      </c>
      <c r="Q823" s="463" t="s">
        <v>4593</v>
      </c>
      <c r="R823" s="463" t="str">
        <f>_xlfn.XLOOKUP(PV_DATA[[#This Row],[New Ark SKU]],Table9[New Ark SKU],Table9[Connector],,0)</f>
        <v>H4(Com)</v>
      </c>
      <c r="S823" s="989" t="str">
        <f>_xlfn.XLOOKUP(PV_DATA[[#This Row],[New Ark SKU]],Table9[New Ark SKU],Table9[Cable],,0)</f>
        <v>+400mm/-200mm</v>
      </c>
      <c r="T823" s="989">
        <v>630</v>
      </c>
      <c r="U823" s="1214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12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5389</v>
      </c>
      <c r="AB823" s="715">
        <v>46247</v>
      </c>
      <c r="AC823" s="990">
        <f>IF(PV_DATA[[#This Row],[Pick-Up Date]]&lt;&gt;"",_xlfn.ISOWEEKNUM(PV_DATA[[#This Row],[Pick-Up Date]]),"")</f>
        <v>33</v>
      </c>
      <c r="AD823" s="463" t="s">
        <v>5832</v>
      </c>
      <c r="AF823" s="463" t="s">
        <v>122</v>
      </c>
      <c r="AG823" s="463" t="s">
        <v>123</v>
      </c>
      <c r="AH823" s="463" t="s">
        <v>5782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5833</v>
      </c>
      <c r="AQ823" s="463" t="s">
        <v>161</v>
      </c>
      <c r="AR823" s="463" t="s">
        <v>5834</v>
      </c>
      <c r="AS823" s="463" t="s">
        <v>5835</v>
      </c>
      <c r="AT823" s="463" t="s">
        <v>5836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9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91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5837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5838</v>
      </c>
      <c r="L824" s="463">
        <v>1</v>
      </c>
      <c r="M824" s="463" t="s">
        <v>840</v>
      </c>
      <c r="N824" s="714">
        <v>46209</v>
      </c>
      <c r="O824" s="463" t="s">
        <v>4526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9" t="str">
        <f>_xlfn.XLOOKUP(PV_DATA[[#This Row],[New Ark SKU]],Table9[New Ark SKU],Table9[Cable],,0)</f>
        <v>±1200mm</v>
      </c>
      <c r="T824" s="989">
        <v>500</v>
      </c>
      <c r="U824" s="1214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12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90">
        <f>IF(PV_DATA[[#This Row],[Pick-Up Date]]&lt;&gt;"",_xlfn.ISOWEEKNUM(PV_DATA[[#This Row],[Pick-Up Date]]),"")</f>
        <v>33</v>
      </c>
      <c r="AD824" s="463" t="s">
        <v>5839</v>
      </c>
      <c r="AF824" s="463" t="s">
        <v>5029</v>
      </c>
      <c r="AG824" s="463" t="s">
        <v>5840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2">
        <f>IFERROR(VLOOKUP(AT824, Vessel!A:H, 8, FALSE), "")</f>
        <v>46300.75</v>
      </c>
      <c r="AN824" s="715"/>
      <c r="AP824" s="463" t="s">
        <v>5841</v>
      </c>
      <c r="AQ824" s="993" t="s">
        <v>80</v>
      </c>
      <c r="AR824" s="463" t="s">
        <v>5842</v>
      </c>
      <c r="AS824" s="463" t="s">
        <v>5843</v>
      </c>
      <c r="AT824" s="463" t="s">
        <v>5843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49.622337962966412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46300.75</v>
      </c>
      <c r="AX8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46300.75</v>
      </c>
      <c r="BB824" s="989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41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4" t="s">
        <v>5844</v>
      </c>
      <c r="B825" s="988" t="s">
        <v>1757</v>
      </c>
      <c r="C825" s="988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8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8" t="s">
        <v>5845</v>
      </c>
      <c r="M825" s="463" t="s">
        <v>68</v>
      </c>
      <c r="N825" s="714">
        <v>46230</v>
      </c>
      <c r="O825" s="463" t="s">
        <v>284</v>
      </c>
      <c r="P825" s="988" t="s">
        <v>5846</v>
      </c>
      <c r="Q825" s="988" t="s">
        <v>5847</v>
      </c>
      <c r="R825" s="463" t="str">
        <f>_xlfn.XLOOKUP(PV_DATA[[#This Row],[New Ark SKU]],Table9[New Ark SKU],Table9[Connector],,0)</f>
        <v>EVO2A</v>
      </c>
      <c r="S825" s="989" t="str">
        <f>_xlfn.XLOOKUP(PV_DATA[[#This Row],[New Ark SKU]],Table9[New Ark SKU],Table9[Cable],,0)</f>
        <v>±1200mm</v>
      </c>
      <c r="T825" s="995">
        <v>485</v>
      </c>
      <c r="U825" s="1217">
        <v>936</v>
      </c>
      <c r="V825" s="996">
        <f>PV_DATA[[#This Row],[QUANTITY]]*PV_DATA[[#This Row],[WATT]]/1000000</f>
        <v>0.45395999999999997</v>
      </c>
      <c r="W825" s="997">
        <f>PV_DATA[[#This Row],[QUANTITY]]/36</f>
        <v>26</v>
      </c>
      <c r="X825" s="1112">
        <f>PV_DATA[[#This Row],[QUANTITY]]/936</f>
        <v>1</v>
      </c>
      <c r="Y825" s="463" t="s">
        <v>2462</v>
      </c>
      <c r="Z825" s="463" t="str">
        <f t="shared" si="10"/>
        <v>IN-TRANSIT</v>
      </c>
      <c r="AA825" s="988" t="s">
        <v>5848</v>
      </c>
      <c r="AB825" s="715">
        <v>46243</v>
      </c>
      <c r="AC825" s="990">
        <f>IF(PV_DATA[[#This Row],[Pick-Up Date]]&lt;&gt;"",_xlfn.ISOWEEKNUM(PV_DATA[[#This Row],[Pick-Up Date]]),"")</f>
        <v>32</v>
      </c>
      <c r="AD825" s="463" t="s">
        <v>5849</v>
      </c>
      <c r="AF825" s="988" t="s">
        <v>5850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2">
        <f>IFERROR(VLOOKUP(AT825, Vessel!A:H, 8, FALSE), "")</f>
        <v>46290.458333333336</v>
      </c>
      <c r="AN825" s="715" t="str">
        <f>IFERROR(IF(VLOOKUP(AT825,Vessel!A:I,9,FALSE)=0,"",VLOOKUP(AT825,Vessel!A:I,9,FALSE)),"")</f>
        <v/>
      </c>
      <c r="AP825" s="463" t="s">
        <v>5841</v>
      </c>
      <c r="AQ825" s="993" t="s">
        <v>80</v>
      </c>
      <c r="AR825" s="463" t="s">
        <v>5851</v>
      </c>
      <c r="AS825" s="463" t="s">
        <v>5852</v>
      </c>
      <c r="AT825" s="463" t="s">
        <v>5852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39.330671296302171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8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46297.458333333336</v>
      </c>
      <c r="BB825" s="989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91" t="str">
        <f>_xlfn.XLOOKUP(PV_DATA[[#This Row],[PORT DESTINATION]],Table12[PORT DESTINATION],Table12[Cosco Line],,0)</f>
        <v>AEU</v>
      </c>
    </row>
    <row r="826" spans="1:62" ht="10.5" hidden="1">
      <c r="A826" s="463" t="s">
        <v>5853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5374</v>
      </c>
      <c r="P826" s="431" t="s">
        <v>5395</v>
      </c>
      <c r="Q826" s="431" t="s">
        <v>5396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215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10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5518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5854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22">
        <v>46248</v>
      </c>
      <c r="AL826" s="438">
        <v>46281</v>
      </c>
      <c r="AM826" s="590">
        <f>IFERROR(VLOOKUP(AT826, Vessel!A:H, 8, FALSE), "")</f>
        <v>46284.427083333336</v>
      </c>
      <c r="AN826" s="438" t="str">
        <f>IFERROR(IF(VLOOKUP(AT826,Vessel!A:I,9,FALSE)=0,"",VLOOKUP(AT826,Vessel!A:I,9,FALSE)),"")</f>
        <v/>
      </c>
      <c r="AP826" s="431" t="s">
        <v>5795</v>
      </c>
      <c r="AQ826" s="431" t="s">
        <v>80</v>
      </c>
      <c r="AR826" s="431" t="s">
        <v>5855</v>
      </c>
      <c r="AS826" s="431" t="s">
        <v>5856</v>
      </c>
      <c r="AT826" s="431" t="s">
        <v>5856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46291.427083333336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5857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215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10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5858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22">
        <v>46248</v>
      </c>
      <c r="AL827" s="1012">
        <v>46281</v>
      </c>
      <c r="AM827" s="1378">
        <f>IFERROR(VLOOKUP(AT827, Vessel!A:H, 8, FALSE), "")</f>
        <v>46284.427083333336</v>
      </c>
      <c r="AN827" s="438" t="str">
        <f>IFERROR(IF(VLOOKUP(AT827,Vessel!A:I,9,FALSE)=0,"",VLOOKUP(AT827,Vessel!A:I,9,FALSE)),"")</f>
        <v/>
      </c>
      <c r="AP827" s="431" t="s">
        <v>5795</v>
      </c>
      <c r="AQ827" s="431" t="s">
        <v>80</v>
      </c>
      <c r="AR827" s="431" t="s">
        <v>5859</v>
      </c>
      <c r="AS827" s="431" t="s">
        <v>5860</v>
      </c>
      <c r="AT827" s="431" t="s">
        <v>5860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46291.427083333336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5861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215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10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5862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22">
        <v>46248</v>
      </c>
      <c r="AL828" s="438">
        <v>46281</v>
      </c>
      <c r="AM828" s="590">
        <f>IFERROR(VLOOKUP(AT828, Vessel!A:H, 8, FALSE), "")</f>
        <v>46284.427083333336</v>
      </c>
      <c r="AN828" s="438" t="str">
        <f>IFERROR(IF(VLOOKUP(AT828,Vessel!A:I,9,FALSE)=0,"",VLOOKUP(AT828,Vessel!A:I,9,FALSE)),"")</f>
        <v/>
      </c>
      <c r="AP828" s="431" t="s">
        <v>5795</v>
      </c>
      <c r="AQ828" s="431" t="s">
        <v>80</v>
      </c>
      <c r="AR828" s="431" t="s">
        <v>5859</v>
      </c>
      <c r="AS828" s="431" t="s">
        <v>5860</v>
      </c>
      <c r="AT828" s="431" t="s">
        <v>5860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46291.427083333336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5863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6" t="s">
        <v>402</v>
      </c>
      <c r="H829" s="463" t="s">
        <v>67</v>
      </c>
      <c r="I829" s="463" t="s">
        <v>689</v>
      </c>
      <c r="J829" s="431" t="s">
        <v>5864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215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10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4985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5865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22">
        <v>46248</v>
      </c>
      <c r="AL829" s="438">
        <v>46281</v>
      </c>
      <c r="AM829" s="590">
        <f>IFERROR(VLOOKUP(AT829, Vessel!A:H, 8, FALSE), "")</f>
        <v>46284.427083333336</v>
      </c>
      <c r="AN829" s="590" t="str">
        <f>IFERROR(IF(VLOOKUP(AT829,Vessel!A:I,9,FALSE)=0,"",VLOOKUP(AT829,Vessel!A:I,9,FALSE)),"")</f>
        <v/>
      </c>
      <c r="AP829" s="431" t="s">
        <v>5795</v>
      </c>
      <c r="AQ829" s="431" t="s">
        <v>80</v>
      </c>
      <c r="AR829" s="431" t="s">
        <v>5859</v>
      </c>
      <c r="AS829" s="431" t="s">
        <v>5860</v>
      </c>
      <c r="AT829" s="431" t="s">
        <v>5860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46291.427083333336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5866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6" t="s">
        <v>402</v>
      </c>
      <c r="H830" s="463" t="s">
        <v>67</v>
      </c>
      <c r="I830" s="463" t="s">
        <v>689</v>
      </c>
      <c r="J830" s="431" t="s">
        <v>5867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5868</v>
      </c>
      <c r="Q830" s="431" t="s">
        <v>5869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215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10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4985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5870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22">
        <v>46248</v>
      </c>
      <c r="AL830" s="438">
        <v>46281</v>
      </c>
      <c r="AM830" s="590">
        <f>IFERROR(VLOOKUP(AT830, Vessel!A:H, 8, FALSE), "")</f>
        <v>46284.427083333336</v>
      </c>
      <c r="AN830" s="590" t="str">
        <f>IFERROR(IF(VLOOKUP(AT830,Vessel!A:I,9,FALSE)=0,"",VLOOKUP(AT830,Vessel!A:I,9,FALSE)),"")</f>
        <v/>
      </c>
      <c r="AP830" s="431" t="s">
        <v>5795</v>
      </c>
      <c r="AQ830" s="431" t="s">
        <v>80</v>
      </c>
      <c r="AR830" s="431" t="s">
        <v>5859</v>
      </c>
      <c r="AS830" s="431" t="s">
        <v>5860</v>
      </c>
      <c r="AT830" s="431" t="s">
        <v>5860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46291.427083333336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5871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215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10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5872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22">
        <v>46248</v>
      </c>
      <c r="AL831" s="1272">
        <v>46291</v>
      </c>
      <c r="AM831" s="1378">
        <f>IFERROR(VLOOKUP(AT831, Vessel!A:H, 8, FALSE), "")</f>
        <v>46284.427083333336</v>
      </c>
      <c r="AN831" s="590" t="str">
        <f>IFERROR(IF(VLOOKUP(AT831,Vessel!A:I,9,FALSE)=0,"",VLOOKUP(AT831,Vessel!A:I,9,FALSE)),"")</f>
        <v/>
      </c>
      <c r="AP831" s="431" t="s">
        <v>5873</v>
      </c>
      <c r="AQ831" s="439" t="s">
        <v>80</v>
      </c>
      <c r="AR831" s="431" t="s">
        <v>5874</v>
      </c>
      <c r="AS831" s="431" t="s">
        <v>5875</v>
      </c>
      <c r="AT831" s="431" t="s">
        <v>5875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46291.427083333336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5876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5374</v>
      </c>
      <c r="P832" s="431" t="s">
        <v>5395</v>
      </c>
      <c r="Q832" s="431" t="s">
        <v>5396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215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10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5518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5877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22">
        <v>46248</v>
      </c>
      <c r="AL832" s="438">
        <v>46291</v>
      </c>
      <c r="AM832" s="590">
        <f>IFERROR(VLOOKUP(AT832, Vessel!A:H, 8, FALSE), "")</f>
        <v>46284.427083333336</v>
      </c>
      <c r="AN832" s="590" t="str">
        <f>IFERROR(IF(VLOOKUP(AT832,Vessel!A:I,9,FALSE)=0,"",VLOOKUP(AT832,Vessel!A:I,9,FALSE)),"")</f>
        <v/>
      </c>
      <c r="AP832" s="431" t="s">
        <v>5873</v>
      </c>
      <c r="AQ832" s="431" t="s">
        <v>80</v>
      </c>
      <c r="AR832" s="431" t="s">
        <v>5874</v>
      </c>
      <c r="AS832" s="431" t="s">
        <v>5875</v>
      </c>
      <c r="AT832" s="431" t="s">
        <v>5875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46291.427083333336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5878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5374</v>
      </c>
      <c r="P833" s="463" t="s">
        <v>5395</v>
      </c>
      <c r="Q833" s="463" t="s">
        <v>5396</v>
      </c>
      <c r="R833" s="463" t="str">
        <f>_xlfn.XLOOKUP(PV_DATA[[#This Row],[New Ark SKU]],Table9[New Ark SKU],Table9[Connector],,0)</f>
        <v>EVO2A</v>
      </c>
      <c r="S833" s="989" t="str">
        <f>_xlfn.XLOOKUP(PV_DATA[[#This Row],[New Ark SKU]],Table9[New Ark SKU],Table9[Cable],,0)</f>
        <v>±1200mm</v>
      </c>
      <c r="T833" s="989">
        <v>465</v>
      </c>
      <c r="U833" s="1214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12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5518</v>
      </c>
      <c r="AB833" s="715">
        <v>46237</v>
      </c>
      <c r="AC833" s="990">
        <f>IF(PV_DATA[[#This Row],[Pick-Up Date]]&lt;&gt;"",_xlfn.ISOWEEKNUM(PV_DATA[[#This Row],[Pick-Up Date]]),"")</f>
        <v>32</v>
      </c>
      <c r="AD833" s="463" t="s">
        <v>5879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2">
        <f>IFERROR(VLOOKUP(AT833, Vessel!A:H, 8, FALSE), "")</f>
        <v>46295.875</v>
      </c>
      <c r="AN833" s="992" t="str">
        <f>IFERROR(IF(VLOOKUP(AT833,Vessel!A:I,9,FALSE)=0,"",VLOOKUP(AT833,Vessel!A:I,9,FALSE)),"")</f>
        <v/>
      </c>
      <c r="AP833" s="463" t="s">
        <v>5880</v>
      </c>
      <c r="AQ833" s="993" t="s">
        <v>80</v>
      </c>
      <c r="AR833" s="463" t="s">
        <v>5881</v>
      </c>
      <c r="AS833" s="463" t="s">
        <v>5882</v>
      </c>
      <c r="AT833" s="463" t="s">
        <v>5882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9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5883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9" t="str">
        <f>_xlfn.XLOOKUP(PV_DATA[[#This Row],[New Ark SKU]],Table9[New Ark SKU],Table9[Cable],,0)</f>
        <v>±1350mm</v>
      </c>
      <c r="T834" s="989">
        <v>515</v>
      </c>
      <c r="U834" s="1214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12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90">
        <f>IF(PV_DATA[[#This Row],[Pick-Up Date]]&lt;&gt;"",_xlfn.ISOWEEKNUM(PV_DATA[[#This Row],[Pick-Up Date]]),"")</f>
        <v>32</v>
      </c>
      <c r="AD834" s="463" t="s">
        <v>5884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6">
        <v>46281</v>
      </c>
      <c r="AM834" s="1382">
        <f>IFERROR(VLOOKUP(AT834, Vessel!A:H, 8, FALSE), "")</f>
        <v>46295.875</v>
      </c>
      <c r="AN834" s="992" t="str">
        <f>IFERROR(IF(VLOOKUP(AT834,Vessel!A:I,9,FALSE)=0,"",VLOOKUP(AT834,Vessel!A:I,9,FALSE)),"")</f>
        <v/>
      </c>
      <c r="AP834" s="463" t="s">
        <v>5880</v>
      </c>
      <c r="AQ834" s="993" t="s">
        <v>80</v>
      </c>
      <c r="AR834" s="463" t="s">
        <v>5881</v>
      </c>
      <c r="AS834" s="463" t="s">
        <v>5882</v>
      </c>
      <c r="AT834" s="463" t="s">
        <v>5882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9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43" customFormat="1" ht="10.5" hidden="1">
      <c r="A835" s="1043" t="s">
        <v>5885</v>
      </c>
      <c r="B835" s="1043" t="s">
        <v>111</v>
      </c>
      <c r="C835" s="1043" t="str">
        <f>IFERROR(LEFT(PV_DATA[[#This Row],[TCL REFERENCE]],FIND(".",PV_DATA[[#This Row],[TCL REFERENCE]],1)-1),"Main Line")</f>
        <v>26May012</v>
      </c>
      <c r="D835" s="1043" t="s">
        <v>63</v>
      </c>
      <c r="E835" s="463" t="s">
        <v>144</v>
      </c>
      <c r="F835" s="104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43" t="s">
        <v>402</v>
      </c>
      <c r="H835" s="1044" t="s">
        <v>670</v>
      </c>
      <c r="I835" s="1043" t="s">
        <v>882</v>
      </c>
      <c r="J835" s="1043" t="s">
        <v>5886</v>
      </c>
      <c r="K835" s="1043" t="s">
        <v>5887</v>
      </c>
      <c r="L835" s="1043">
        <v>24</v>
      </c>
      <c r="M835" s="1043" t="s">
        <v>4962</v>
      </c>
      <c r="N835" s="1045">
        <v>46167</v>
      </c>
      <c r="O835" s="1043" t="s">
        <v>4526</v>
      </c>
      <c r="P835" s="1043" t="s">
        <v>4592</v>
      </c>
      <c r="Q835" s="1043" t="s">
        <v>4593</v>
      </c>
      <c r="R835" s="1043" t="str">
        <f>_xlfn.XLOOKUP(PV_DATA[[#This Row],[New Ark SKU]],Table9[New Ark SKU],Table9[Connector],,0)</f>
        <v>H4(Com)</v>
      </c>
      <c r="S835" s="1046" t="str">
        <f>_xlfn.XLOOKUP(PV_DATA[[#This Row],[New Ark SKU]],Table9[New Ark SKU],Table9[Cable],,0)</f>
        <v>+400mm/-200mm</v>
      </c>
      <c r="T835" s="1046">
        <v>630</v>
      </c>
      <c r="U835" s="1218">
        <v>2160</v>
      </c>
      <c r="V835" s="1047">
        <f>PV_DATA[[#This Row],[QUANTITY]]*PV_DATA[[#This Row],[WATT]]/1000000</f>
        <v>1.3608</v>
      </c>
      <c r="W835" s="1048">
        <f>PV_DATA[[#This Row],[QUANTITY]]/PV_DATA[[#This Row],[Qty/Pallet]]</f>
        <v>60</v>
      </c>
      <c r="X835" s="1113">
        <f>PV_DATA[[#This Row],[QUANTITY]]/PV_DATA[[#This Row],[Qty/CT]]</f>
        <v>3</v>
      </c>
      <c r="Y835" s="1043" t="s">
        <v>2463</v>
      </c>
      <c r="Z835" s="1043" t="str">
        <f t="shared" si="10"/>
        <v>IN-TRANSIT</v>
      </c>
      <c r="AA835" s="1043" t="s">
        <v>5389</v>
      </c>
      <c r="AB835" s="1044">
        <v>46238</v>
      </c>
      <c r="AC835" s="1049">
        <f>IF(PV_DATA[[#This Row],[Pick-Up Date]]&lt;&gt;"",_xlfn.ISOWEEKNUM(PV_DATA[[#This Row],[Pick-Up Date]]),"")</f>
        <v>32</v>
      </c>
      <c r="AD835" s="1043" t="s">
        <v>5888</v>
      </c>
      <c r="AF835" s="1043" t="s">
        <v>122</v>
      </c>
      <c r="AG835" s="1043" t="s">
        <v>123</v>
      </c>
      <c r="AH835" s="1043" t="s">
        <v>105</v>
      </c>
      <c r="AI835" s="1044">
        <v>46237</v>
      </c>
      <c r="AJ835" s="1044">
        <v>46240</v>
      </c>
      <c r="AK835" s="438">
        <v>46240</v>
      </c>
      <c r="AL835" s="1044">
        <v>46274</v>
      </c>
      <c r="AM835" s="1044">
        <v>46276</v>
      </c>
      <c r="AN835" s="1050"/>
      <c r="AP835" s="1043" t="s">
        <v>5713</v>
      </c>
      <c r="AQ835" s="1043" t="s">
        <v>161</v>
      </c>
      <c r="AR835" s="1043" t="s">
        <v>5889</v>
      </c>
      <c r="AS835" s="1043" t="s">
        <v>5890</v>
      </c>
      <c r="AT835" s="1043" t="s">
        <v>5891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44"/>
      <c r="AW835" s="104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4">
        <f>IF(ISERROR(PV_DATA[[#This Row],[New Ark PO status]]),"",_xlfn.XLOOKUP(PV_DATA[[#This Row],[SPTN-PVHK New Ark PO'#]],New_Ark_Data[Purchase order Number],New_Ark_Data[Estimated time of arrival],"",0))</f>
        <v>46276</v>
      </c>
      <c r="AZ835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4">
        <f>IFERROR(PV_DATA[[#This Row],[ODP ETA Port]]+PV_DATA[[#This Row],[Customs/Leg3 Assumption]],"n/a")</f>
        <v>46276</v>
      </c>
      <c r="BB835" s="1046">
        <f>YEAR(PV_DATA[[#This Row],[ETA for New Ark update]])</f>
        <v>2026</v>
      </c>
      <c r="BC835" s="1043">
        <f>MONTH(PV_DATA[[#This Row],[ETA for New Ark update]])</f>
        <v>9</v>
      </c>
      <c r="BD835" s="1043">
        <f>IFERROR(_xlfn.ISOWEEKNUM(PV_DATA[[#This Row],[ETA for New Ark update]]),0)</f>
        <v>37</v>
      </c>
      <c r="BE835" s="1043">
        <f>_xlfn.XLOOKUP(PV_DATA[[#This Row],[New Ark SKU]],Table9[New Ark SKU],Table9[Total PCS per Pallet],,0)</f>
        <v>36</v>
      </c>
      <c r="BF835" s="1043">
        <f>_xlfn.XLOOKUP(PV_DATA[[#This Row],[New Ark SKU]],Table9[New Ark SKU],Table9[Total PCS per 40HQ Container],,0)</f>
        <v>720</v>
      </c>
      <c r="BG835" s="1043" t="str">
        <f>_xlfn.XLOOKUP(PV_DATA[[#This Row],[New Ark SKU]],Table9[New Ark SKU],Table9[Back Glass],,0)</f>
        <v>Transparent</v>
      </c>
      <c r="BH835" s="1043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5892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5893</v>
      </c>
      <c r="M836" s="463" t="s">
        <v>68</v>
      </c>
      <c r="N836" s="714">
        <v>46167</v>
      </c>
      <c r="O836" s="463" t="s">
        <v>4526</v>
      </c>
      <c r="P836" s="463" t="s">
        <v>4587</v>
      </c>
      <c r="Q836" s="463" t="s">
        <v>330</v>
      </c>
      <c r="R836" s="463" t="str">
        <f>_xlfn.XLOOKUP(PV_DATA[[#This Row],[New Ark SKU]],Table9[New Ark SKU],Table9[Connector],,0)</f>
        <v>H4(Com)</v>
      </c>
      <c r="S836" s="989" t="str">
        <f>_xlfn.XLOOKUP(PV_DATA[[#This Row],[New Ark SKU]],Table9[New Ark SKU],Table9[Cable],,0)</f>
        <v>+400mm/-200mm</v>
      </c>
      <c r="T836" s="989">
        <v>625</v>
      </c>
      <c r="U836" s="1214">
        <f>720*2</f>
        <v>1440</v>
      </c>
      <c r="V836" s="1013">
        <f>PV_DATA[[#This Row],[QUANTITY]]*PV_DATA[[#This Row],[WATT]]/1000000</f>
        <v>0.9</v>
      </c>
      <c r="W836" s="716">
        <f>PV_DATA[[#This Row],[QUANTITY]]/PV_DATA[[#This Row],[Qty/Pallet]]</f>
        <v>40</v>
      </c>
      <c r="X836" s="1112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5389</v>
      </c>
      <c r="AB836" s="715">
        <v>46238</v>
      </c>
      <c r="AC836" s="990">
        <f>IF(PV_DATA[[#This Row],[Pick-Up Date]]&lt;&gt;"",_xlfn.ISOWEEKNUM(PV_DATA[[#This Row],[Pick-Up Date]]),"")</f>
        <v>32</v>
      </c>
      <c r="AD836" s="463" t="s">
        <v>5894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2"/>
      <c r="AP836" s="463" t="s">
        <v>5713</v>
      </c>
      <c r="AQ836" s="463" t="s">
        <v>161</v>
      </c>
      <c r="AR836" s="463" t="s">
        <v>5895</v>
      </c>
      <c r="AS836" s="463" t="s">
        <v>5891</v>
      </c>
      <c r="AT836" s="463" t="s">
        <v>5891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9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43" customFormat="1" ht="10.5" hidden="1">
      <c r="A837" s="1043" t="s">
        <v>5896</v>
      </c>
      <c r="B837" s="1043" t="s">
        <v>111</v>
      </c>
      <c r="C837" s="1043" t="str">
        <f>IFERROR(LEFT(PV_DATA[[#This Row],[TCL REFERENCE]],FIND(".",PV_DATA[[#This Row],[TCL REFERENCE]],1)-1),"Main Line")</f>
        <v>26May012</v>
      </c>
      <c r="D837" s="1043" t="s">
        <v>63</v>
      </c>
      <c r="E837" s="463" t="s">
        <v>144</v>
      </c>
      <c r="F837" s="104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43" t="s">
        <v>402</v>
      </c>
      <c r="H837" s="1044" t="s">
        <v>670</v>
      </c>
      <c r="I837" s="1043" t="s">
        <v>882</v>
      </c>
      <c r="J837" s="1043" t="s">
        <v>5886</v>
      </c>
      <c r="K837" s="1043" t="s">
        <v>5887</v>
      </c>
      <c r="L837" s="1043">
        <v>25</v>
      </c>
      <c r="M837" s="1043" t="s">
        <v>4962</v>
      </c>
      <c r="N837" s="1045">
        <v>46167</v>
      </c>
      <c r="O837" s="1043" t="s">
        <v>4526</v>
      </c>
      <c r="P837" s="1043" t="s">
        <v>4592</v>
      </c>
      <c r="Q837" s="1043" t="s">
        <v>4593</v>
      </c>
      <c r="R837" s="1043" t="str">
        <f>_xlfn.XLOOKUP(PV_DATA[[#This Row],[New Ark SKU]],Table9[New Ark SKU],Table9[Connector],,0)</f>
        <v>H4(Com)</v>
      </c>
      <c r="S837" s="1046" t="str">
        <f>_xlfn.XLOOKUP(PV_DATA[[#This Row],[New Ark SKU]],Table9[New Ark SKU],Table9[Cable],,0)</f>
        <v>+400mm/-200mm</v>
      </c>
      <c r="T837" s="1046">
        <v>630</v>
      </c>
      <c r="U837" s="1218">
        <f>720*3</f>
        <v>2160</v>
      </c>
      <c r="V837" s="1047">
        <f>PV_DATA[[#This Row],[QUANTITY]]*PV_DATA[[#This Row],[WATT]]/1000000</f>
        <v>1.3608</v>
      </c>
      <c r="W837" s="1048">
        <f>PV_DATA[[#This Row],[QUANTITY]]/PV_DATA[[#This Row],[Qty/Pallet]]</f>
        <v>60</v>
      </c>
      <c r="X837" s="1113">
        <f>PV_DATA[[#This Row],[QUANTITY]]/PV_DATA[[#This Row],[Qty/CT]]</f>
        <v>3</v>
      </c>
      <c r="Y837" s="1043" t="s">
        <v>2463</v>
      </c>
      <c r="Z837" s="1043" t="str">
        <f t="shared" si="10"/>
        <v>IN-TRANSIT</v>
      </c>
      <c r="AA837" s="1043" t="s">
        <v>5389</v>
      </c>
      <c r="AB837" s="1044">
        <v>46238</v>
      </c>
      <c r="AC837" s="1049">
        <f>IF(PV_DATA[[#This Row],[Pick-Up Date]]&lt;&gt;"",_xlfn.ISOWEEKNUM(PV_DATA[[#This Row],[Pick-Up Date]]),"")</f>
        <v>32</v>
      </c>
      <c r="AD837" s="1043" t="s">
        <v>5897</v>
      </c>
      <c r="AF837" s="1043" t="s">
        <v>122</v>
      </c>
      <c r="AG837" s="1043" t="s">
        <v>123</v>
      </c>
      <c r="AH837" s="1043" t="s">
        <v>105</v>
      </c>
      <c r="AI837" s="1044">
        <v>46237</v>
      </c>
      <c r="AJ837" s="1044">
        <v>46240</v>
      </c>
      <c r="AK837" s="438">
        <v>46240</v>
      </c>
      <c r="AL837" s="1044">
        <v>46274</v>
      </c>
      <c r="AM837" s="1044">
        <v>46276</v>
      </c>
      <c r="AN837" s="1050"/>
      <c r="AP837" s="1043" t="s">
        <v>5713</v>
      </c>
      <c r="AQ837" s="1043" t="s">
        <v>161</v>
      </c>
      <c r="AR837" s="1043" t="s">
        <v>5889</v>
      </c>
      <c r="AS837" s="1043" t="s">
        <v>5890</v>
      </c>
      <c r="AT837" s="1043" t="s">
        <v>5891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44"/>
      <c r="AW837" s="104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4" t="str">
        <f>IF(ISERROR(PV_DATA[[#This Row],[New Ark PO status]]),"",_xlfn.XLOOKUP(PV_DATA[[#This Row],[SPTN-PVHK New Ark PO'#]],New_Ark_Data[Purchase order Number],New_Ark_Data[Estimated time of arrival],"",0))</f>
        <v/>
      </c>
      <c r="AZ837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4">
        <f>IFERROR(PV_DATA[[#This Row],[ODP ETA Port]]+PV_DATA[[#This Row],[Customs/Leg3 Assumption]],"n/a")</f>
        <v>46276</v>
      </c>
      <c r="BB837" s="1046">
        <f>YEAR(PV_DATA[[#This Row],[ETA for New Ark update]])</f>
        <v>2026</v>
      </c>
      <c r="BC837" s="1043">
        <f>MONTH(PV_DATA[[#This Row],[ETA for New Ark update]])</f>
        <v>9</v>
      </c>
      <c r="BD837" s="1043">
        <f>IFERROR(_xlfn.ISOWEEKNUM(PV_DATA[[#This Row],[ETA for New Ark update]]),0)</f>
        <v>37</v>
      </c>
      <c r="BE837" s="1043">
        <f>_xlfn.XLOOKUP(PV_DATA[[#This Row],[New Ark SKU]],Table9[New Ark SKU],Table9[Total PCS per Pallet],,0)</f>
        <v>36</v>
      </c>
      <c r="BF837" s="1043">
        <f>_xlfn.XLOOKUP(PV_DATA[[#This Row],[New Ark SKU]],Table9[New Ark SKU],Table9[Total PCS per 40HQ Container],,0)</f>
        <v>720</v>
      </c>
      <c r="BG837" s="1043" t="str">
        <f>_xlfn.XLOOKUP(PV_DATA[[#This Row],[New Ark SKU]],Table9[New Ark SKU],Table9[Back Glass],,0)</f>
        <v>Transparent</v>
      </c>
      <c r="BH837" s="1043" t="str">
        <f>_xlfn.XLOOKUP(PV_DATA[[#This Row],[PORT DESTINATION]],Table12[PORT DESTINATION],Table12[Cosco Line],,0)</f>
        <v>AEU</v>
      </c>
    </row>
    <row r="838" spans="1:60" s="1043" customFormat="1" ht="10.5" hidden="1">
      <c r="A838" s="1043" t="s">
        <v>5898</v>
      </c>
      <c r="B838" s="1043" t="s">
        <v>111</v>
      </c>
      <c r="C838" s="1043" t="str">
        <f>IFERROR(LEFT(PV_DATA[[#This Row],[TCL REFERENCE]],FIND(".",PV_DATA[[#This Row],[TCL REFERENCE]],1)-1),"Main Line")</f>
        <v>26May012</v>
      </c>
      <c r="D838" s="1043" t="s">
        <v>63</v>
      </c>
      <c r="E838" s="463" t="s">
        <v>144</v>
      </c>
      <c r="F838" s="104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43" t="s">
        <v>402</v>
      </c>
      <c r="H838" s="1044" t="s">
        <v>670</v>
      </c>
      <c r="I838" s="1043" t="s">
        <v>882</v>
      </c>
      <c r="J838" s="1043" t="s">
        <v>5886</v>
      </c>
      <c r="K838" s="1043" t="s">
        <v>5887</v>
      </c>
      <c r="L838" s="1043">
        <v>26</v>
      </c>
      <c r="M838" s="1043" t="s">
        <v>4962</v>
      </c>
      <c r="N838" s="1045">
        <v>46167</v>
      </c>
      <c r="O838" s="1043" t="s">
        <v>4526</v>
      </c>
      <c r="P838" s="1043" t="s">
        <v>4592</v>
      </c>
      <c r="Q838" s="1043" t="s">
        <v>4593</v>
      </c>
      <c r="R838" s="1043" t="str">
        <f>_xlfn.XLOOKUP(PV_DATA[[#This Row],[New Ark SKU]],Table9[New Ark SKU],Table9[Connector],,0)</f>
        <v>H4(Com)</v>
      </c>
      <c r="S838" s="1046" t="str">
        <f>_xlfn.XLOOKUP(PV_DATA[[#This Row],[New Ark SKU]],Table9[New Ark SKU],Table9[Cable],,0)</f>
        <v>+400mm/-200mm</v>
      </c>
      <c r="T838" s="1046">
        <v>630</v>
      </c>
      <c r="U838" s="1218">
        <f>720*2</f>
        <v>1440</v>
      </c>
      <c r="V838" s="1047">
        <f>PV_DATA[[#This Row],[QUANTITY]]*PV_DATA[[#This Row],[WATT]]/1000000</f>
        <v>0.90720000000000001</v>
      </c>
      <c r="W838" s="1048">
        <f>PV_DATA[[#This Row],[QUANTITY]]/PV_DATA[[#This Row],[Qty/Pallet]]</f>
        <v>40</v>
      </c>
      <c r="X838" s="1113">
        <f>PV_DATA[[#This Row],[QUANTITY]]/PV_DATA[[#This Row],[Qty/CT]]</f>
        <v>2</v>
      </c>
      <c r="Y838" s="1043" t="s">
        <v>2463</v>
      </c>
      <c r="Z838" s="1043" t="str">
        <f t="shared" si="10"/>
        <v>IN-TRANSIT</v>
      </c>
      <c r="AA838" s="1043" t="s">
        <v>5389</v>
      </c>
      <c r="AB838" s="1044">
        <v>46238</v>
      </c>
      <c r="AC838" s="1049">
        <f>IF(PV_DATA[[#This Row],[Pick-Up Date]]&lt;&gt;"",_xlfn.ISOWEEKNUM(PV_DATA[[#This Row],[Pick-Up Date]]),"")</f>
        <v>32</v>
      </c>
      <c r="AD838" s="1043" t="s">
        <v>5899</v>
      </c>
      <c r="AF838" s="1043" t="s">
        <v>122</v>
      </c>
      <c r="AG838" s="1043" t="s">
        <v>123</v>
      </c>
      <c r="AH838" s="1043" t="s">
        <v>105</v>
      </c>
      <c r="AI838" s="1044">
        <v>46237</v>
      </c>
      <c r="AJ838" s="1044">
        <v>46240</v>
      </c>
      <c r="AK838" s="438">
        <v>46255</v>
      </c>
      <c r="AL838" s="1044">
        <v>46274</v>
      </c>
      <c r="AM838" s="1044">
        <v>46305</v>
      </c>
      <c r="AN838" s="1050"/>
      <c r="AP838" s="1043" t="s">
        <v>5900</v>
      </c>
      <c r="AQ838" s="1043" t="s">
        <v>161</v>
      </c>
      <c r="AR838" s="1043" t="s">
        <v>5901</v>
      </c>
      <c r="AS838" s="1043" t="s">
        <v>5902</v>
      </c>
      <c r="AT838" s="1043" t="s">
        <v>5902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4"/>
      <c r="AW838" s="104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4" t="str">
        <f>IF(ISERROR(PV_DATA[[#This Row],[New Ark PO status]]),"",_xlfn.XLOOKUP(PV_DATA[[#This Row],[SPTN-PVHK New Ark PO'#]],New_Ark_Data[Purchase order Number],New_Ark_Data[Estimated time of arrival],"",0))</f>
        <v/>
      </c>
      <c r="AZ838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4">
        <f>IFERROR(PV_DATA[[#This Row],[ODP ETA Port]]+PV_DATA[[#This Row],[Customs/Leg3 Assumption]],"n/a")</f>
        <v>46305</v>
      </c>
      <c r="BB838" s="1046">
        <f>YEAR(PV_DATA[[#This Row],[ETA for New Ark update]])</f>
        <v>2026</v>
      </c>
      <c r="BC838" s="1043">
        <f>MONTH(PV_DATA[[#This Row],[ETA for New Ark update]])</f>
        <v>10</v>
      </c>
      <c r="BD838" s="1043">
        <f>IFERROR(_xlfn.ISOWEEKNUM(PV_DATA[[#This Row],[ETA for New Ark update]]),0)</f>
        <v>41</v>
      </c>
      <c r="BE838" s="1043">
        <f>_xlfn.XLOOKUP(PV_DATA[[#This Row],[New Ark SKU]],Table9[New Ark SKU],Table9[Total PCS per Pallet],,0)</f>
        <v>36</v>
      </c>
      <c r="BF838" s="1043">
        <f>_xlfn.XLOOKUP(PV_DATA[[#This Row],[New Ark SKU]],Table9[New Ark SKU],Table9[Total PCS per 40HQ Container],,0)</f>
        <v>720</v>
      </c>
      <c r="BG838" s="1043" t="str">
        <f>_xlfn.XLOOKUP(PV_DATA[[#This Row],[New Ark SKU]],Table9[New Ark SKU],Table9[Back Glass],,0)</f>
        <v>Transparent</v>
      </c>
      <c r="BH838" s="1043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5903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5387</v>
      </c>
      <c r="K839" s="463" t="s">
        <v>5388</v>
      </c>
      <c r="L839" s="463">
        <v>2</v>
      </c>
      <c r="M839" s="463" t="s">
        <v>840</v>
      </c>
      <c r="N839" s="714">
        <v>46167</v>
      </c>
      <c r="O839" s="463" t="s">
        <v>4526</v>
      </c>
      <c r="P839" s="463" t="s">
        <v>4587</v>
      </c>
      <c r="Q839" s="463" t="s">
        <v>330</v>
      </c>
      <c r="R839" s="463" t="str">
        <f>_xlfn.XLOOKUP(PV_DATA[[#This Row],[New Ark SKU]],Table9[New Ark SKU],Table9[Connector],,0)</f>
        <v>H4(Com)</v>
      </c>
      <c r="S839" s="989" t="str">
        <f>_xlfn.XLOOKUP(PV_DATA[[#This Row],[New Ark SKU]],Table9[New Ark SKU],Table9[Cable],,0)</f>
        <v>+400mm/-200mm</v>
      </c>
      <c r="T839" s="989">
        <v>625</v>
      </c>
      <c r="U839" s="1214">
        <v>2880</v>
      </c>
      <c r="V839" s="1013">
        <f>PV_DATA[[#This Row],[QUANTITY]]*PV_DATA[[#This Row],[WATT]]/1000000</f>
        <v>1.8</v>
      </c>
      <c r="W839" s="716">
        <f>PV_DATA[[#This Row],[QUANTITY]]/PV_DATA[[#This Row],[Qty/Pallet]]</f>
        <v>80</v>
      </c>
      <c r="X839" s="1143">
        <v>4</v>
      </c>
      <c r="Y839" s="463" t="s">
        <v>2458</v>
      </c>
      <c r="Z839" s="463" t="str">
        <f t="shared" si="10"/>
        <v>IN-TRANSIT</v>
      </c>
      <c r="AA839" s="463" t="s">
        <v>5389</v>
      </c>
      <c r="AB839" s="715">
        <v>46238</v>
      </c>
      <c r="AC839" s="990">
        <f>IF(PV_DATA[[#This Row],[Pick-Up Date]]&lt;&gt;"",_xlfn.ISOWEEKNUM(PV_DATA[[#This Row],[Pick-Up Date]]),"")</f>
        <v>32</v>
      </c>
      <c r="AD839" s="463" t="s">
        <v>5904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2"/>
      <c r="AP839" s="463" t="s">
        <v>5713</v>
      </c>
      <c r="AQ839" s="463" t="s">
        <v>161</v>
      </c>
      <c r="AR839" s="463" t="s">
        <v>5905</v>
      </c>
      <c r="AS839" s="463" t="s">
        <v>5906</v>
      </c>
      <c r="AT839" s="463" t="s">
        <v>5891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9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5907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5387</v>
      </c>
      <c r="K840" s="463" t="s">
        <v>5388</v>
      </c>
      <c r="L840" s="463">
        <v>4</v>
      </c>
      <c r="M840" s="463" t="s">
        <v>840</v>
      </c>
      <c r="N840" s="714">
        <v>46167</v>
      </c>
      <c r="O840" s="463" t="s">
        <v>4526</v>
      </c>
      <c r="P840" s="463" t="s">
        <v>4587</v>
      </c>
      <c r="Q840" s="463" t="s">
        <v>330</v>
      </c>
      <c r="R840" s="463" t="str">
        <f>_xlfn.XLOOKUP(PV_DATA[[#This Row],[New Ark SKU]],Table9[New Ark SKU],Table9[Connector],,0)</f>
        <v>H4(Com)</v>
      </c>
      <c r="S840" s="989" t="str">
        <f>_xlfn.XLOOKUP(PV_DATA[[#This Row],[New Ark SKU]],Table9[New Ark SKU],Table9[Cable],,0)</f>
        <v>+400mm/-200mm</v>
      </c>
      <c r="T840" s="989">
        <v>625</v>
      </c>
      <c r="U840" s="1214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43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5389</v>
      </c>
      <c r="AB840" s="715">
        <v>46238</v>
      </c>
      <c r="AC840" s="990">
        <f>IF(PV_DATA[[#This Row],[Pick-Up Date]]&lt;&gt;"",_xlfn.ISOWEEKNUM(PV_DATA[[#This Row],[Pick-Up Date]]),"")</f>
        <v>32</v>
      </c>
      <c r="AD840" s="463" t="s">
        <v>5908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2"/>
      <c r="AP840" s="463" t="s">
        <v>5713</v>
      </c>
      <c r="AQ840" s="463" t="s">
        <v>161</v>
      </c>
      <c r="AR840" s="463" t="s">
        <v>5905</v>
      </c>
      <c r="AS840" s="463" t="s">
        <v>5906</v>
      </c>
      <c r="AT840" s="463" t="s">
        <v>5891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9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91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5909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5910</v>
      </c>
      <c r="Q841" s="463" t="s">
        <v>1807</v>
      </c>
      <c r="R841" s="463" t="str">
        <f>_xlfn.XLOOKUP(PV_DATA[[#This Row],[New Ark SKU]],Table9[New Ark SKU],Table9[Connector],,0)</f>
        <v>EVO2A</v>
      </c>
      <c r="S841" s="989" t="str">
        <f>_xlfn.XLOOKUP(PV_DATA[[#This Row],[New Ark SKU]],Table9[New Ark SKU],Table9[Cable],,0)</f>
        <v>±1400mm</v>
      </c>
      <c r="T841" s="989">
        <v>720</v>
      </c>
      <c r="U841" s="1214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12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4985</v>
      </c>
      <c r="AB841" s="715">
        <v>46238</v>
      </c>
      <c r="AC841" s="990">
        <f>IF(PV_DATA[[#This Row],[Pick-Up Date]]&lt;&gt;"",_xlfn.ISOWEEKNUM(PV_DATA[[#This Row],[Pick-Up Date]]),"")</f>
        <v>32</v>
      </c>
      <c r="AD841" s="463" t="s">
        <v>5911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2"/>
      <c r="AP841" s="463" t="s">
        <v>5880</v>
      </c>
      <c r="AQ841" s="993" t="s">
        <v>161</v>
      </c>
      <c r="AR841" s="463" t="s">
        <v>5912</v>
      </c>
      <c r="AS841" s="463" t="s">
        <v>5913</v>
      </c>
      <c r="AT841" s="463" t="s">
        <v>5913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9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5914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9" t="str">
        <f>_xlfn.XLOOKUP(PV_DATA[[#This Row],[New Ark SKU]],Table9[New Ark SKU],Table9[Cable],,0)</f>
        <v>±1200mm</v>
      </c>
      <c r="T842" s="989">
        <v>470</v>
      </c>
      <c r="U842" s="1214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12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90">
        <f>IF(PV_DATA[[#This Row],[Pick-Up Date]]&lt;&gt;"",_xlfn.ISOWEEKNUM(PV_DATA[[#This Row],[Pick-Up Date]]),"")</f>
        <v>32</v>
      </c>
      <c r="AD842" s="463" t="s">
        <v>5915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2"/>
      <c r="AP842" s="463" t="s">
        <v>5880</v>
      </c>
      <c r="AQ842" s="993" t="s">
        <v>161</v>
      </c>
      <c r="AR842" s="463" t="s">
        <v>5912</v>
      </c>
      <c r="AS842" s="463" t="s">
        <v>5913</v>
      </c>
      <c r="AT842" s="463" t="s">
        <v>5913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9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5916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5744</v>
      </c>
      <c r="Q843" s="463" t="s">
        <v>1484</v>
      </c>
      <c r="R843" s="463" t="str">
        <f>_xlfn.XLOOKUP(PV_DATA[[#This Row],[New Ark SKU]],Table9[New Ark SKU],Table9[Connector],,0)</f>
        <v>EVO2A</v>
      </c>
      <c r="S843" s="989" t="str">
        <f>_xlfn.XLOOKUP(PV_DATA[[#This Row],[New Ark SKU]],Table9[New Ark SKU],Table9[Cable],,0)</f>
        <v>±1400mm</v>
      </c>
      <c r="T843" s="989">
        <v>725</v>
      </c>
      <c r="U843" s="1214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12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90">
        <f>IF(PV_DATA[[#This Row],[Pick-Up Date]]&lt;&gt;"",_xlfn.ISOWEEKNUM(PV_DATA[[#This Row],[Pick-Up Date]]),"")</f>
        <v>32</v>
      </c>
      <c r="AD843" s="463" t="s">
        <v>5917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2"/>
      <c r="AP843" s="463" t="s">
        <v>5880</v>
      </c>
      <c r="AQ843" s="993" t="s">
        <v>161</v>
      </c>
      <c r="AR843" s="463" t="s">
        <v>5912</v>
      </c>
      <c r="AS843" s="463" t="s">
        <v>5913</v>
      </c>
      <c r="AT843" s="463" t="s">
        <v>5913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9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5918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9" t="str">
        <f>_xlfn.XLOOKUP(PV_DATA[[#This Row],[New Ark SKU]],Table9[New Ark SKU],Table9[Cable],,0)</f>
        <v>±1350mm</v>
      </c>
      <c r="T844" s="989">
        <v>510</v>
      </c>
      <c r="U844" s="1214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12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90">
        <f>IF(PV_DATA[[#This Row],[Pick-Up Date]]&lt;&gt;"",_xlfn.ISOWEEKNUM(PV_DATA[[#This Row],[Pick-Up Date]]),"")</f>
        <v>33</v>
      </c>
      <c r="AD844" s="463" t="s">
        <v>5919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8">
        <v>46288</v>
      </c>
      <c r="AM844" s="1382">
        <f>IFERROR(VLOOKUP(AT844, Vessel!A:H, 8, FALSE), "")</f>
        <v>46289.25</v>
      </c>
      <c r="AN844" s="992" t="str">
        <f>IFERROR(IF(VLOOKUP(AT844,Vessel!A:I,9,FALSE)=0,"",VLOOKUP(AT844,Vessel!A:I,9,FALSE)),"")</f>
        <v/>
      </c>
      <c r="AO844" s="463"/>
      <c r="AP844" s="463" t="s">
        <v>5920</v>
      </c>
      <c r="AQ844" s="993" t="s">
        <v>80</v>
      </c>
      <c r="AR844" s="463" t="s">
        <v>5921</v>
      </c>
      <c r="AS844" s="463" t="s">
        <v>5922</v>
      </c>
      <c r="AT844" s="463" t="s">
        <v>5922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46297.25</v>
      </c>
      <c r="BB844" s="989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91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5923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5544</v>
      </c>
      <c r="L845" s="463">
        <v>1</v>
      </c>
      <c r="M845" s="463" t="s">
        <v>840</v>
      </c>
      <c r="N845" s="714">
        <v>46202</v>
      </c>
      <c r="O845" s="463" t="s">
        <v>5331</v>
      </c>
      <c r="P845" s="463" t="s">
        <v>5332</v>
      </c>
      <c r="Q845" s="463" t="s">
        <v>5333</v>
      </c>
      <c r="R845" s="463" t="str">
        <f>_xlfn.XLOOKUP(PV_DATA[[#This Row],[New Ark SKU]],Table9[New Ark SKU],Table9[Connector],,0)</f>
        <v>EVO2A</v>
      </c>
      <c r="S845" s="989" t="str">
        <f>_xlfn.XLOOKUP(PV_DATA[[#This Row],[New Ark SKU]],Table9[New Ark SKU],Table9[Cable],,0)</f>
        <v>±1400mm</v>
      </c>
      <c r="T845" s="989">
        <v>580</v>
      </c>
      <c r="U845" s="1214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12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5662</v>
      </c>
      <c r="AB845" s="715">
        <v>46246</v>
      </c>
      <c r="AC845" s="990">
        <f>IF(PV_DATA[[#This Row],[Pick-Up Date]]&lt;&gt;"",_xlfn.ISOWEEKNUM(PV_DATA[[#This Row],[Pick-Up Date]]),"")</f>
        <v>33</v>
      </c>
      <c r="AD845" s="463" t="s">
        <v>5924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2">
        <f>IFERROR(VLOOKUP(AT845, Vessel!A:H, 8, FALSE), "")</f>
        <v>46284.083333333336</v>
      </c>
      <c r="AN845" s="992" t="str">
        <f>IFERROR(IF(VLOOKUP(AT845,Vessel!A:I,9,FALSE)=0,"",VLOOKUP(AT845,Vessel!A:I,9,FALSE)),"")</f>
        <v/>
      </c>
      <c r="AP845" s="463" t="s">
        <v>5920</v>
      </c>
      <c r="AQ845" s="463" t="s">
        <v>80</v>
      </c>
      <c r="AR845" s="463" t="s">
        <v>5925</v>
      </c>
      <c r="AS845" s="463" t="s">
        <v>5926</v>
      </c>
      <c r="AT845" s="463" t="s">
        <v>5926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46284.083333333336</v>
      </c>
      <c r="AX8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46284.083333333336</v>
      </c>
      <c r="BB845" s="989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5927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9" t="str">
        <f>_xlfn.XLOOKUP(PV_DATA[[#This Row],[New Ark SKU]],Table9[New Ark SKU],Table9[Cable],,0)</f>
        <v>±1350mm</v>
      </c>
      <c r="T846" s="989">
        <v>515</v>
      </c>
      <c r="U846" s="1214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12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5928</v>
      </c>
      <c r="AB846" s="715">
        <v>46237</v>
      </c>
      <c r="AC846" s="990">
        <f>IF(PV_DATA[[#This Row],[Pick-Up Date]]&lt;&gt;"",_xlfn.ISOWEEKNUM(PV_DATA[[#This Row],[Pick-Up Date]]),"")</f>
        <v>32</v>
      </c>
      <c r="AD846" s="463" t="s">
        <v>5929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8">
        <v>46304</v>
      </c>
      <c r="AM846" s="1382">
        <f>IFERROR(VLOOKUP(AT846, Vessel!A:H, 8, FALSE), "")</f>
        <v>46290.75</v>
      </c>
      <c r="AN846" s="715"/>
      <c r="AP846" s="463" t="s">
        <v>5930</v>
      </c>
      <c r="AQ846" s="463" t="s">
        <v>80</v>
      </c>
      <c r="AR846" s="463" t="s">
        <v>5931</v>
      </c>
      <c r="AS846" s="463" t="s">
        <v>5932</v>
      </c>
      <c r="AT846" s="463" t="s">
        <v>5932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46290.75</v>
      </c>
      <c r="AX8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46300.75</v>
      </c>
      <c r="BB846" s="989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41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5933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9" t="str">
        <f>_xlfn.XLOOKUP(PV_DATA[[#This Row],[New Ark SKU]],Table9[New Ark SKU],Table9[Cable],,0)</f>
        <v>±1200mm</v>
      </c>
      <c r="T847" s="989">
        <v>470</v>
      </c>
      <c r="U847" s="1214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12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90">
        <f>IF(PV_DATA[[#This Row],[Pick-Up Date]]&lt;&gt;"",_xlfn.ISOWEEKNUM(PV_DATA[[#This Row],[Pick-Up Date]]),"")</f>
        <v>33</v>
      </c>
      <c r="AD847" s="463" t="s">
        <v>5934</v>
      </c>
      <c r="AE847" s="463" t="s">
        <v>5934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5935</v>
      </c>
      <c r="AQ847" s="463" t="s">
        <v>161</v>
      </c>
      <c r="AR847" s="463" t="s">
        <v>5936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9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5937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63" t="s">
        <v>5938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5374</v>
      </c>
      <c r="P848" s="463" t="s">
        <v>5939</v>
      </c>
      <c r="Q848" s="463" t="s">
        <v>5940</v>
      </c>
      <c r="R848" s="463" t="str">
        <f>_xlfn.XLOOKUP(PV_DATA[[#This Row],[New Ark SKU]],Table9[New Ark SKU],Table9[Connector],,0)</f>
        <v>EVO2A</v>
      </c>
      <c r="S848" s="989" t="str">
        <f>_xlfn.XLOOKUP(PV_DATA[[#This Row],[New Ark SKU]],Table9[New Ark SKU],Table9[Cable],,0)</f>
        <v>±1200mm</v>
      </c>
      <c r="T848" s="989">
        <v>470</v>
      </c>
      <c r="U848" s="1214">
        <f>936*5</f>
        <v>4680</v>
      </c>
      <c r="V848" s="459">
        <f>PV_DATA[[#This Row],[QUANTITY]]*PV_DATA[[#This Row],[WATT]]/1000000</f>
        <v>2.1996000000000002</v>
      </c>
      <c r="W848" s="716">
        <f>PV_DATA[[#This Row],[QUANTITY]]/PV_DATA[[#This Row],[Qty/Pallet]]</f>
        <v>130</v>
      </c>
      <c r="X848" s="1112">
        <f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15">
        <v>46248</v>
      </c>
      <c r="AC848" s="990">
        <f>IF(PV_DATA[[#This Row],[Pick-Up Date]]&lt;&gt;"",_xlfn.ISOWEEKNUM(PV_DATA[[#This Row],[Pick-Up Date]]),"")</f>
        <v>33</v>
      </c>
      <c r="AD848" s="463" t="s">
        <v>5941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5935</v>
      </c>
      <c r="AQ848" s="463" t="s">
        <v>161</v>
      </c>
      <c r="AR848" s="463" t="s">
        <v>5936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9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1328" customFormat="1" ht="10.5" hidden="1">
      <c r="A849" s="1327" t="s">
        <v>5942</v>
      </c>
      <c r="B849" s="1328" t="s">
        <v>111</v>
      </c>
      <c r="C849" s="1328" t="str">
        <f>IFERROR(LEFT(PV_DATA[[#This Row],[TCL REFERENCE]],FIND(".",PV_DATA[[#This Row],[TCL REFERENCE]],1)-1),"Main Line")</f>
        <v>26Jul015</v>
      </c>
      <c r="D849" s="1328" t="s">
        <v>63</v>
      </c>
      <c r="E849" s="1328" t="s">
        <v>5938</v>
      </c>
      <c r="F849" s="1328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328" t="s">
        <v>402</v>
      </c>
      <c r="H849" s="1328" t="s">
        <v>4959</v>
      </c>
      <c r="I849" s="1328" t="s">
        <v>1395</v>
      </c>
      <c r="J849" s="1328" t="s">
        <v>4959</v>
      </c>
      <c r="M849" s="1328" t="s">
        <v>5943</v>
      </c>
      <c r="N849" s="1329">
        <v>46237</v>
      </c>
      <c r="O849" s="1328" t="s">
        <v>5374</v>
      </c>
      <c r="P849" s="1328" t="s">
        <v>5939</v>
      </c>
      <c r="Q849" s="1328" t="s">
        <v>5940</v>
      </c>
      <c r="R849" s="1328" t="str">
        <f>_xlfn.XLOOKUP(PV_DATA[[#This Row],[New Ark SKU]],Table9[New Ark SKU],Table9[Connector],,0)</f>
        <v>EVO2A</v>
      </c>
      <c r="S849" s="1330" t="str">
        <f>_xlfn.XLOOKUP(PV_DATA[[#This Row],[New Ark SKU]],Table9[New Ark SKU],Table9[Cable],,0)</f>
        <v>±1200mm</v>
      </c>
      <c r="T849" s="1330">
        <v>470</v>
      </c>
      <c r="U849" s="1331">
        <f>936*1</f>
        <v>936</v>
      </c>
      <c r="V849" s="1332">
        <f>PV_DATA[[#This Row],[QUANTITY]]*PV_DATA[[#This Row],[WATT]]/1000000</f>
        <v>0.43991999999999998</v>
      </c>
      <c r="W849" s="1333">
        <f>PV_DATA[[#This Row],[QUANTITY]]/PV_DATA[[#This Row],[Qty/Pallet]]</f>
        <v>26</v>
      </c>
      <c r="X849" s="1334">
        <f>PV_DATA[[#This Row],[QUANTITY]]/PV_DATA[[#This Row],[Qty/CT]]</f>
        <v>1</v>
      </c>
      <c r="Y849" s="1328" t="s">
        <v>2462</v>
      </c>
      <c r="Z849" s="1328" t="str">
        <f t="shared" ref="Z849" si="11">IF(AN849&lt;&gt;"","COMPLETED",IF(AK849&lt;&gt;"","IN-TRANSIT",""))</f>
        <v>IN-TRANSIT</v>
      </c>
      <c r="AB849" s="1335">
        <v>46248</v>
      </c>
      <c r="AC849" s="1336">
        <f>IF(PV_DATA[[#This Row],[Pick-Up Date]]&lt;&gt;"",_xlfn.ISOWEEKNUM(PV_DATA[[#This Row],[Pick-Up Date]]),"")</f>
        <v>33</v>
      </c>
      <c r="AD849" s="1328" t="s">
        <v>5941</v>
      </c>
      <c r="AF849" s="1328" t="s">
        <v>122</v>
      </c>
      <c r="AG849" s="1328" t="s">
        <v>123</v>
      </c>
      <c r="AH849" s="1328" t="s">
        <v>78</v>
      </c>
      <c r="AI849" s="1335">
        <v>46249</v>
      </c>
      <c r="AJ849" s="1335">
        <v>46252</v>
      </c>
      <c r="AK849" s="1337">
        <v>46257</v>
      </c>
      <c r="AL849" s="1335">
        <v>46295</v>
      </c>
      <c r="AM849" s="1338"/>
      <c r="AN849" s="1335"/>
      <c r="AP849" s="1328" t="s">
        <v>5935</v>
      </c>
      <c r="AQ849" s="1328" t="s">
        <v>161</v>
      </c>
      <c r="AR849" s="1328" t="s">
        <v>5936</v>
      </c>
      <c r="AS849" s="1328">
        <v>274946111</v>
      </c>
      <c r="AT849" s="1328">
        <v>274946111</v>
      </c>
      <c r="AU849" s="133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33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33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335">
        <f>IF(ISERROR(PV_DATA[[#This Row],[New Ark PO status]]),"",_xlfn.XLOOKUP(PV_DATA[[#This Row],[SPTN-PVHK New Ark PO'#]],New_Ark_Data[Purchase order Number],New_Ark_Data[Estimated time of arrival],"",0))</f>
        <v>46309</v>
      </c>
      <c r="AZ849" s="133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335">
        <f>IFERROR(PV_DATA[[#This Row],[ODP ETA Port]]+PV_DATA[[#This Row],[Customs/Leg3 Assumption]],"n/a")</f>
        <v>46303</v>
      </c>
      <c r="BB849" s="1330">
        <f>YEAR(PV_DATA[[#This Row],[ETA for New Ark update]])</f>
        <v>2026</v>
      </c>
      <c r="BC849" s="1328">
        <f>MONTH(PV_DATA[[#This Row],[ETA for New Ark update]])</f>
        <v>10</v>
      </c>
      <c r="BD849" s="1328">
        <f>IFERROR(_xlfn.ISOWEEKNUM(PV_DATA[[#This Row],[ETA for New Ark update]]),0)</f>
        <v>41</v>
      </c>
      <c r="BE849" s="1328">
        <f>_xlfn.XLOOKUP(PV_DATA[[#This Row],[New Ark SKU]],Table9[New Ark SKU],Table9[Total PCS per Pallet],,0)</f>
        <v>36</v>
      </c>
      <c r="BF849" s="1328">
        <f>_xlfn.XLOOKUP(PV_DATA[[#This Row],[New Ark SKU]],Table9[New Ark SKU],Table9[Total PCS per 40HQ Container],,0)</f>
        <v>936</v>
      </c>
      <c r="BG849" s="1328" t="str">
        <f>_xlfn.XLOOKUP(PV_DATA[[#This Row],[New Ark SKU]],Table9[New Ark SKU],Table9[Back Glass],,0)</f>
        <v>White glazing</v>
      </c>
      <c r="BH849" s="1328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5944</v>
      </c>
      <c r="B850" s="463" t="s">
        <v>1757</v>
      </c>
      <c r="C850" s="463" t="str">
        <f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14">
        <v>46209</v>
      </c>
      <c r="O850" s="463" t="s">
        <v>4526</v>
      </c>
      <c r="P850" s="463" t="s">
        <v>71</v>
      </c>
      <c r="Q850" s="463" t="s">
        <v>72</v>
      </c>
      <c r="R850" s="463" t="str">
        <f>_xlfn.XLOOKUP(PV_DATA[[#This Row],[New Ark SKU]],Table9[New Ark SKU],Table9[Connector],,0)</f>
        <v>EVO2A</v>
      </c>
      <c r="S850" s="989" t="str">
        <f>_xlfn.XLOOKUP(PV_DATA[[#This Row],[New Ark SKU]],Table9[New Ark SKU],Table9[Cable],,0)</f>
        <v>±1200mm</v>
      </c>
      <c r="T850" s="989">
        <v>500</v>
      </c>
      <c r="U850" s="1214">
        <f>864*6</f>
        <v>5184</v>
      </c>
      <c r="V850" s="459">
        <f>PV_DATA[[#This Row],[QUANTITY]]*PV_DATA[[#This Row],[WATT]]/1000000</f>
        <v>2.5920000000000001</v>
      </c>
      <c r="W850" s="716">
        <f>PV_DATA[[#This Row],[QUANTITY]]/PV_DATA[[#This Row],[Qty/Pallet]]</f>
        <v>144</v>
      </c>
      <c r="X850" s="1112">
        <f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15">
        <v>46249</v>
      </c>
      <c r="AC850" s="990">
        <f>IF(PV_DATA[[#This Row],[Pick-Up Date]]&lt;&gt;"",_xlfn.ISOWEEKNUM(PV_DATA[[#This Row],[Pick-Up Date]]),"")</f>
        <v>33</v>
      </c>
      <c r="AD850" s="463" t="s">
        <v>5945</v>
      </c>
      <c r="AE850" s="463" t="s">
        <v>5945</v>
      </c>
      <c r="AF850" s="463" t="s">
        <v>5029</v>
      </c>
      <c r="AG850" s="463" t="s">
        <v>5840</v>
      </c>
      <c r="AH850" s="463" t="s">
        <v>78</v>
      </c>
      <c r="AI850" s="715">
        <v>46249</v>
      </c>
      <c r="AJ850" s="715">
        <v>46256</v>
      </c>
      <c r="AK850" s="438">
        <v>46257</v>
      </c>
      <c r="AL850" s="715">
        <v>46295</v>
      </c>
      <c r="AM850" s="620"/>
      <c r="AN850" s="715"/>
      <c r="AP850" s="463" t="s">
        <v>5946</v>
      </c>
      <c r="AQ850" s="463" t="s">
        <v>161</v>
      </c>
      <c r="AR850" s="463" t="s">
        <v>5947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46309</v>
      </c>
      <c r="AZ85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46303</v>
      </c>
      <c r="BB850" s="989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5948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14">
        <v>46209</v>
      </c>
      <c r="O851" s="463" t="s">
        <v>284</v>
      </c>
      <c r="P851" s="463" t="s">
        <v>5578</v>
      </c>
      <c r="Q851" s="463" t="s">
        <v>1570</v>
      </c>
      <c r="R851" s="463" t="str">
        <f>_xlfn.XLOOKUP(PV_DATA[[#This Row],[New Ark SKU]],Table9[New Ark SKU],Table9[Connector],,0)</f>
        <v>H4(Com)</v>
      </c>
      <c r="S851" s="989" t="str">
        <f>_xlfn.XLOOKUP(PV_DATA[[#This Row],[New Ark SKU]],Table9[New Ark SKU],Table9[Cable],,0)</f>
        <v>±1400mm</v>
      </c>
      <c r="T851" s="989">
        <v>650</v>
      </c>
      <c r="U851" s="1214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12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15">
        <v>46238</v>
      </c>
      <c r="AC851" s="990">
        <f>IF(PV_DATA[[#This Row],[Pick-Up Date]]&lt;&gt;"",_xlfn.ISOWEEKNUM(PV_DATA[[#This Row],[Pick-Up Date]]),"")</f>
        <v>32</v>
      </c>
      <c r="AD851" s="463" t="s">
        <v>5949</v>
      </c>
      <c r="AF851" s="463" t="s">
        <v>61</v>
      </c>
      <c r="AG851" s="463" t="s">
        <v>61</v>
      </c>
      <c r="AH851" s="463" t="s">
        <v>78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46314</v>
      </c>
      <c r="AM851" s="992">
        <f>IFERROR(VLOOKUP(AT851, Vessel!A:H, 8, FALSE), "")</f>
        <v>46328.791666666664</v>
      </c>
      <c r="AN851" s="992" t="str">
        <f>IFERROR(IF(VLOOKUP(AT851,Vessel!A:I,9,FALSE)=0,"",VLOOKUP(AT851,Vessel!A:I,9,FALSE)),"")</f>
        <v/>
      </c>
      <c r="AP851" s="463" t="s">
        <v>5950</v>
      </c>
      <c r="AQ851" s="993" t="s">
        <v>80</v>
      </c>
      <c r="AR851" s="463" t="s">
        <v>5951</v>
      </c>
      <c r="AS851" s="463" t="s">
        <v>5952</v>
      </c>
      <c r="AT851" s="463" t="s">
        <v>5952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46342</v>
      </c>
      <c r="AZ85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15">
        <f>IFERROR(PV_DATA[[#This Row],[ODP ETA Port]]+PV_DATA[[#This Row],[Customs/Leg3 Assumption]],"n/a")</f>
        <v>46336.791666666664</v>
      </c>
      <c r="BB851" s="989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5953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5578</v>
      </c>
      <c r="Q852" s="463" t="s">
        <v>1570</v>
      </c>
      <c r="R852" s="463" t="str">
        <f>_xlfn.XLOOKUP(PV_DATA[[#This Row],[New Ark SKU]],Table9[New Ark SKU],Table9[Connector],,0)</f>
        <v>H4(Com)</v>
      </c>
      <c r="S852" s="989" t="str">
        <f>_xlfn.XLOOKUP(PV_DATA[[#This Row],[New Ark SKU]],Table9[New Ark SKU],Table9[Cable],,0)</f>
        <v>±1400mm</v>
      </c>
      <c r="T852" s="989">
        <v>650</v>
      </c>
      <c r="U852" s="1214">
        <v>720</v>
      </c>
      <c r="V852" s="459">
        <f>PV_DATA[[#This Row],[QUANTITY]]*PV_DATA[[#This Row],[WATT]]/1000000</f>
        <v>0.46800000000000003</v>
      </c>
      <c r="W852" s="716">
        <f>PV_DATA[[#This Row],[QUANTITY]]/PV_DATA[[#This Row],[Qty/Pallet]]</f>
        <v>20</v>
      </c>
      <c r="X852" s="1112">
        <f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5492</v>
      </c>
      <c r="AB852" s="715">
        <v>46238</v>
      </c>
      <c r="AC852" s="990">
        <f>IF(PV_DATA[[#This Row],[Pick-Up Date]]&lt;&gt;"",_xlfn.ISOWEEKNUM(PV_DATA[[#This Row],[Pick-Up Date]]),"")</f>
        <v>32</v>
      </c>
      <c r="AD852" s="463" t="s">
        <v>5954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2"/>
      <c r="AN852" s="992"/>
      <c r="AP852" s="463" t="s">
        <v>5950</v>
      </c>
      <c r="AQ852" s="993" t="s">
        <v>80</v>
      </c>
      <c r="AR852" s="463" t="s">
        <v>5955</v>
      </c>
      <c r="AS852" s="463" t="s">
        <v>5956</v>
      </c>
      <c r="AT852" s="463" t="s">
        <v>5956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46321</v>
      </c>
      <c r="AZ852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9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5957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14">
        <v>46202</v>
      </c>
      <c r="O853" s="463" t="s">
        <v>284</v>
      </c>
      <c r="P853" s="463" t="s">
        <v>5578</v>
      </c>
      <c r="Q853" s="463" t="s">
        <v>1570</v>
      </c>
      <c r="R853" s="463" t="str">
        <f>_xlfn.XLOOKUP(PV_DATA[[#This Row],[New Ark SKU]],Table9[New Ark SKU],Table9[Connector],,0)</f>
        <v>H4(Com)</v>
      </c>
      <c r="S853" s="989" t="str">
        <f>_xlfn.XLOOKUP(PV_DATA[[#This Row],[New Ark SKU]],Table9[New Ark SKU],Table9[Cable],,0)</f>
        <v>±1400mm</v>
      </c>
      <c r="T853" s="989">
        <v>650</v>
      </c>
      <c r="U853" s="1214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12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5492</v>
      </c>
      <c r="AB853" s="715">
        <v>46238</v>
      </c>
      <c r="AC853" s="990">
        <f>IF(PV_DATA[[#This Row],[Pick-Up Date]]&lt;&gt;"",_xlfn.ISOWEEKNUM(PV_DATA[[#This Row],[Pick-Up Date]]),"")</f>
        <v>32</v>
      </c>
      <c r="AD853" s="463" t="s">
        <v>5958</v>
      </c>
      <c r="AF853" s="463" t="s">
        <v>61</v>
      </c>
      <c r="AG853" s="463" t="s">
        <v>61</v>
      </c>
      <c r="AH853" s="463" t="s">
        <v>1561</v>
      </c>
      <c r="AI853" s="715">
        <v>46243</v>
      </c>
      <c r="AJ853" s="715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15">
        <v>46306</v>
      </c>
      <c r="AM853" s="992"/>
      <c r="AN853" s="992"/>
      <c r="AP853" s="463" t="s">
        <v>5950</v>
      </c>
      <c r="AQ853" s="993" t="s">
        <v>80</v>
      </c>
      <c r="AR853" s="463" t="s">
        <v>5959</v>
      </c>
      <c r="AS853" s="463" t="s">
        <v>5960</v>
      </c>
      <c r="AT853" s="463" t="s">
        <v>5960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46331</v>
      </c>
      <c r="AZ85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15">
        <f>IFERROR(PV_DATA[[#This Row],[ODP ETA Port]]+PV_DATA[[#This Row],[Customs/Leg3 Assumption]],"n/a")</f>
        <v>46316</v>
      </c>
      <c r="BB853" s="989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 hidden="1">
      <c r="A854" s="463" t="s">
        <v>5961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5578</v>
      </c>
      <c r="Q854" s="463" t="s">
        <v>1570</v>
      </c>
      <c r="R854" s="463" t="str">
        <f>_xlfn.XLOOKUP(PV_DATA[[#This Row],[New Ark SKU]],Table9[New Ark SKU],Table9[Connector],,0)</f>
        <v>H4(Com)</v>
      </c>
      <c r="S854" s="989" t="str">
        <f>_xlfn.XLOOKUP(PV_DATA[[#This Row],[New Ark SKU]],Table9[New Ark SKU],Table9[Cable],,0)</f>
        <v>±1400mm</v>
      </c>
      <c r="T854" s="989">
        <v>650</v>
      </c>
      <c r="U854" s="1214">
        <v>2160</v>
      </c>
      <c r="V854" s="459">
        <f>PV_DATA[[#This Row],[QUANTITY]]*PV_DATA[[#This Row],[WATT]]/1000000</f>
        <v>1.4039999999999999</v>
      </c>
      <c r="W854" s="716">
        <f>PV_DATA[[#This Row],[QUANTITY]]/PV_DATA[[#This Row],[Qty/Pallet]]</f>
        <v>60</v>
      </c>
      <c r="X854" s="1112">
        <f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15">
        <v>46238</v>
      </c>
      <c r="AC854" s="990">
        <f>IF(PV_DATA[[#This Row],[Pick-Up Date]]&lt;&gt;"",_xlfn.ISOWEEKNUM(PV_DATA[[#This Row],[Pick-Up Date]]),"")</f>
        <v>32</v>
      </c>
      <c r="AD854" s="463" t="s">
        <v>5962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2">
        <f>IFERROR(VLOOKUP(AT854, Vessel!A:H, 8, FALSE), "")</f>
        <v>46289.625</v>
      </c>
      <c r="AN854" s="992" t="str">
        <f>IFERROR(IF(VLOOKUP(AT854,Vessel!A:I,9,FALSE)=0,"",VLOOKUP(AT854,Vessel!A:I,9,FALSE)),"")</f>
        <v/>
      </c>
      <c r="AP854" s="463" t="s">
        <v>5950</v>
      </c>
      <c r="AQ854" s="463" t="s">
        <v>80</v>
      </c>
      <c r="AR854" s="463" t="s">
        <v>5963</v>
      </c>
      <c r="AS854" s="463" t="s">
        <v>5964</v>
      </c>
      <c r="AT854" s="463" t="s">
        <v>5964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46296.625</v>
      </c>
      <c r="BB854" s="989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 hidden="1">
      <c r="A855" s="463" t="s">
        <v>5965</v>
      </c>
      <c r="B855" s="463" t="s">
        <v>61</v>
      </c>
      <c r="C855" s="463" t="str">
        <f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14">
        <v>46209</v>
      </c>
      <c r="O855" s="463" t="s">
        <v>284</v>
      </c>
      <c r="P855" s="463" t="s">
        <v>5578</v>
      </c>
      <c r="Q855" s="463" t="s">
        <v>1570</v>
      </c>
      <c r="R855" s="463" t="str">
        <f>_xlfn.XLOOKUP(PV_DATA[[#This Row],[New Ark SKU]],Table9[New Ark SKU],Table9[Connector],,0)</f>
        <v>H4(Com)</v>
      </c>
      <c r="S855" s="989" t="str">
        <f>_xlfn.XLOOKUP(PV_DATA[[#This Row],[New Ark SKU]],Table9[New Ark SKU],Table9[Cable],,0)</f>
        <v>±1400mm</v>
      </c>
      <c r="T855" s="989">
        <v>650</v>
      </c>
      <c r="U855" s="1214">
        <v>1440</v>
      </c>
      <c r="V855" s="459">
        <f>PV_DATA[[#This Row],[QUANTITY]]*PV_DATA[[#This Row],[WATT]]/1000000</f>
        <v>0.93600000000000005</v>
      </c>
      <c r="W855" s="716">
        <f>PV_DATA[[#This Row],[QUANTITY]]/PV_DATA[[#This Row],[Qty/Pallet]]</f>
        <v>40</v>
      </c>
      <c r="X855" s="1112">
        <f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15">
        <v>46238</v>
      </c>
      <c r="AC855" s="990">
        <f>IF(PV_DATA[[#This Row],[Pick-Up Date]]&lt;&gt;"",_xlfn.ISOWEEKNUM(PV_DATA[[#This Row],[Pick-Up Date]]),"")</f>
        <v>32</v>
      </c>
      <c r="AD855" s="463" t="s">
        <v>5966</v>
      </c>
      <c r="AF855" s="463" t="s">
        <v>77</v>
      </c>
      <c r="AG855" s="463" t="s">
        <v>61</v>
      </c>
      <c r="AH855" s="463" t="s">
        <v>105</v>
      </c>
      <c r="AI855" s="715">
        <v>46243</v>
      </c>
      <c r="AJ855" s="715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15">
        <v>46287</v>
      </c>
      <c r="AM855" s="992">
        <f>IFERROR(VLOOKUP(AT855, Vessel!A:H, 8, FALSE), "")</f>
        <v>46289.625</v>
      </c>
      <c r="AN855" s="715"/>
      <c r="AP855" s="463" t="s">
        <v>5950</v>
      </c>
      <c r="AQ855" s="463" t="s">
        <v>80</v>
      </c>
      <c r="AR855" s="463" t="s">
        <v>5967</v>
      </c>
      <c r="AS855" s="463" t="s">
        <v>5968</v>
      </c>
      <c r="AT855" s="463" t="s">
        <v>5968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5" s="71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5">
        <f>IF(ISERROR(PV_DATA[[#This Row],[New Ark PO status]]),"",_xlfn.XLOOKUP(PV_DATA[[#This Row],[SPTN-PVHK New Ark PO'#]],New_Ark_Data[Purchase order Number],New_Ark_Data[Estimated time of arrival],"",0))</f>
        <v>46303</v>
      </c>
      <c r="AZ8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5">
        <f>IFERROR(PV_DATA[[#This Row],[ODP ETA Port]]+PV_DATA[[#This Row],[Customs/Leg3 Assumption]],"n/a")</f>
        <v>46296.625</v>
      </c>
      <c r="BB855" s="989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40" customFormat="1" ht="10.5" hidden="1">
      <c r="A856" s="440" t="s">
        <v>5969</v>
      </c>
      <c r="B856" s="440" t="s">
        <v>61</v>
      </c>
      <c r="C856" s="440" t="str">
        <f>IFERROR(LEFT(PV_DATA[[#This Row],[TCL REFERENCE]],FIND(".",PV_DATA[[#This Row],[TCL REFERENCE]],1)-1),"Main Line")</f>
        <v>26May007</v>
      </c>
      <c r="D856" s="440" t="s">
        <v>63</v>
      </c>
      <c r="E856" s="440" t="s">
        <v>64</v>
      </c>
      <c r="F856" s="440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40" t="s">
        <v>402</v>
      </c>
      <c r="H856" s="440" t="s">
        <v>67</v>
      </c>
      <c r="I856" s="440" t="s">
        <v>689</v>
      </c>
      <c r="J856" s="440" t="s">
        <v>96</v>
      </c>
      <c r="K856" s="727"/>
      <c r="L856" s="727"/>
      <c r="M856" s="440" t="s">
        <v>68</v>
      </c>
      <c r="N856" s="717">
        <v>45809</v>
      </c>
      <c r="O856" s="440" t="s">
        <v>4526</v>
      </c>
      <c r="P856" s="440" t="s">
        <v>195</v>
      </c>
      <c r="Q856" s="440" t="s">
        <v>196</v>
      </c>
      <c r="R856" s="440" t="str">
        <f>_xlfn.XLOOKUP(PV_DATA[[#This Row],[New Ark SKU]],Table9[New Ark SKU],Table9[Connector],,0)</f>
        <v>EVO2A</v>
      </c>
      <c r="S856" s="724" t="str">
        <f>_xlfn.XLOOKUP(PV_DATA[[#This Row],[New Ark SKU]],Table9[New Ark SKU],Table9[Cable],,0)</f>
        <v>±1200mm</v>
      </c>
      <c r="T856" s="724">
        <v>450</v>
      </c>
      <c r="U856" s="1350">
        <v>2808</v>
      </c>
      <c r="V856" s="1360">
        <f>PV_DATA[[#This Row],[QUANTITY]]*PV_DATA[[#This Row],[WATT]]/1000000</f>
        <v>1.2636000000000001</v>
      </c>
      <c r="W856" s="1352">
        <f>PV_DATA[[#This Row],[QUANTITY]]/PV_DATA[[#This Row],[Qty/Pallet]]</f>
        <v>78</v>
      </c>
      <c r="X856" s="1361">
        <f>PV_DATA[[#This Row],[QUANTITY]]/PV_DATA[[#This Row],[Qty/CT]]</f>
        <v>3</v>
      </c>
      <c r="Y856" s="440" t="s">
        <v>2461</v>
      </c>
      <c r="Z856" s="440" t="str">
        <f t="shared" si="10"/>
        <v>IN-TRANSIT</v>
      </c>
      <c r="AA856" s="440" t="s">
        <v>4884</v>
      </c>
      <c r="AB856" s="721">
        <v>46238</v>
      </c>
      <c r="AC856" s="1362">
        <f>IF(PV_DATA[[#This Row],[Pick-Up Date]]&lt;&gt;"",_xlfn.ISOWEEKNUM(PV_DATA[[#This Row],[Pick-Up Date]]),"")</f>
        <v>32</v>
      </c>
      <c r="AD856" s="440" t="s">
        <v>5970</v>
      </c>
      <c r="AF856" s="440" t="s">
        <v>61</v>
      </c>
      <c r="AG856" s="440" t="s">
        <v>61</v>
      </c>
      <c r="AH856" s="440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42">
        <f>IFERROR(IF(VLOOKUP(AT856,Vessel!A:F,5,FALSE)=0,"",VLOOKUP(AT856,Vessel!A:F,5,FALSE)),"")</f>
        <v>46243.192557870374</v>
      </c>
      <c r="AL856" s="721">
        <v>46287</v>
      </c>
      <c r="AM856" s="1355">
        <f>IFERROR(VLOOKUP(AT856, Vessel!A:H, 8, FALSE), "")</f>
        <v>46289.625</v>
      </c>
      <c r="AN856" s="1355" t="str">
        <f>IFERROR(IF(VLOOKUP(AT856,Vessel!A:I,9,FALSE)=0,"",VLOOKUP(AT856,Vessel!A:I,9,FALSE)),"")</f>
        <v/>
      </c>
      <c r="AP856" s="440" t="s">
        <v>5950</v>
      </c>
      <c r="AQ856" s="440" t="s">
        <v>80</v>
      </c>
      <c r="AR856" s="440" t="s">
        <v>5971</v>
      </c>
      <c r="AS856" s="440" t="s">
        <v>5972</v>
      </c>
      <c r="AT856" s="440" t="s">
        <v>5972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V856" s="721"/>
      <c r="AW856" s="721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>IF(ISERROR(PV_DATA[[#This Row],[New Ark PO status]]),"",_xlfn.XLOOKUP(PV_DATA[[#This Row],[SPTN-PVHK New Ark PO'#]],New_Ark_Data[Purchase order Number],New_Ark_Data[Estimated time of arrival],"",0))</f>
        <v>46303</v>
      </c>
      <c r="AZ85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>IFERROR(PV_DATA[[#This Row],[ODP ETA Port]]+PV_DATA[[#This Row],[Customs/Leg3 Assumption]],"n/a")</f>
        <v>46296.625</v>
      </c>
      <c r="BB856" s="724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5973</v>
      </c>
      <c r="B857" s="463" t="s">
        <v>1757</v>
      </c>
      <c r="C857" s="463" t="str">
        <f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5661</v>
      </c>
      <c r="M857" s="463" t="s">
        <v>68</v>
      </c>
      <c r="N857" s="714">
        <v>46209</v>
      </c>
      <c r="O857" s="463" t="s">
        <v>4526</v>
      </c>
      <c r="P857" s="463" t="s">
        <v>1151</v>
      </c>
      <c r="Q857" s="463" t="s">
        <v>421</v>
      </c>
      <c r="R857" s="463" t="str">
        <f>_xlfn.XLOOKUP(PV_DATA[[#This Row],[New Ark SKU]],Table9[New Ark SKU],Table9[Connector],,0)</f>
        <v>EVO2A</v>
      </c>
      <c r="S857" s="989" t="str">
        <f>_xlfn.XLOOKUP(PV_DATA[[#This Row],[New Ark SKU]],Table9[New Ark SKU],Table9[Cable],,0)</f>
        <v>±1200mm</v>
      </c>
      <c r="T857" s="989">
        <v>505</v>
      </c>
      <c r="U857" s="1214">
        <v>1728</v>
      </c>
      <c r="V857" s="459">
        <f>PV_DATA[[#This Row],[QUANTITY]]*PV_DATA[[#This Row],[WATT]]/1000000</f>
        <v>0.87263999999999997</v>
      </c>
      <c r="W857" s="716">
        <f>PV_DATA[[#This Row],[QUANTITY]]/PV_DATA[[#This Row],[Qty/Pallet]]</f>
        <v>48</v>
      </c>
      <c r="X857" s="1112">
        <f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5974</v>
      </c>
      <c r="AB857" s="715">
        <v>46239</v>
      </c>
      <c r="AC857" s="990">
        <f>IF(PV_DATA[[#This Row],[Pick-Up Date]]&lt;&gt;"",_xlfn.ISOWEEKNUM(PV_DATA[[#This Row],[Pick-Up Date]]),"")</f>
        <v>32</v>
      </c>
      <c r="AD857" s="463" t="s">
        <v>5975</v>
      </c>
      <c r="AF857" s="463" t="s">
        <v>1525</v>
      </c>
      <c r="AG857" s="463" t="s">
        <v>1525</v>
      </c>
      <c r="AH857" s="463" t="s">
        <v>456</v>
      </c>
      <c r="AI857" s="715">
        <v>46243</v>
      </c>
      <c r="AJ857" s="715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15">
        <v>46279</v>
      </c>
      <c r="AM857" s="992">
        <f>IFERROR(VLOOKUP(AT857, Vessel!A:H, 8, FALSE), "")</f>
        <v>46286.375</v>
      </c>
      <c r="AN857" s="992" t="str">
        <f>IFERROR(IF(VLOOKUP(AT857,Vessel!A:I,9,FALSE)=0,"",VLOOKUP(AT857,Vessel!A:I,9,FALSE)),"")</f>
        <v/>
      </c>
      <c r="AP857" s="463" t="s">
        <v>5664</v>
      </c>
      <c r="AQ857" s="463" t="s">
        <v>80</v>
      </c>
      <c r="AR857" s="463" t="s">
        <v>5976</v>
      </c>
      <c r="AS857" s="463" t="s">
        <v>5977</v>
      </c>
      <c r="AT857" s="463" t="s">
        <v>5977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40.135208333333139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8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46300</v>
      </c>
      <c r="AZ8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46293.375</v>
      </c>
      <c r="BB857" s="989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991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5978</v>
      </c>
      <c r="B858" s="463" t="s">
        <v>1757</v>
      </c>
      <c r="C858" s="463" t="str">
        <f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14">
        <v>46209</v>
      </c>
      <c r="O858" s="463" t="s">
        <v>4526</v>
      </c>
      <c r="P858" s="463" t="s">
        <v>71</v>
      </c>
      <c r="Q858" s="463" t="s">
        <v>72</v>
      </c>
      <c r="R858" s="463" t="str">
        <f>_xlfn.XLOOKUP(PV_DATA[[#This Row],[New Ark SKU]],Table9[New Ark SKU],Table9[Connector],,0)</f>
        <v>EVO2A</v>
      </c>
      <c r="S858" s="989" t="str">
        <f>_xlfn.XLOOKUP(PV_DATA[[#This Row],[New Ark SKU]],Table9[New Ark SKU],Table9[Cable],,0)</f>
        <v>±1200mm</v>
      </c>
      <c r="T858" s="989">
        <v>500</v>
      </c>
      <c r="U858" s="1214">
        <f>864*3</f>
        <v>2592</v>
      </c>
      <c r="V858" s="459">
        <f>PV_DATA[[#This Row],[QUANTITY]]*PV_DATA[[#This Row],[WATT]]/1000000</f>
        <v>1.296</v>
      </c>
      <c r="W858" s="716">
        <f>PV_DATA[[#This Row],[QUANTITY]]/PV_DATA[[#This Row],[Qty/Pallet]]</f>
        <v>72</v>
      </c>
      <c r="X858" s="1112">
        <f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15">
        <v>46240</v>
      </c>
      <c r="AC858" s="990">
        <f>IF(PV_DATA[[#This Row],[Pick-Up Date]]&lt;&gt;"",_xlfn.ISOWEEKNUM(PV_DATA[[#This Row],[Pick-Up Date]]),"")</f>
        <v>32</v>
      </c>
      <c r="AD858" s="463" t="s">
        <v>5979</v>
      </c>
      <c r="AF858" s="463" t="s">
        <v>1525</v>
      </c>
      <c r="AG858" s="463" t="s">
        <v>1525</v>
      </c>
      <c r="AH858" s="463" t="s">
        <v>105</v>
      </c>
      <c r="AI858" s="715">
        <v>46239</v>
      </c>
      <c r="AJ858" s="715"/>
      <c r="AK858" s="438">
        <f>IFERROR(IF(VLOOKUP(AT858,Vessel!A:F,5,FALSE)=0,"",VLOOKUP(AT858,Vessel!A:F,5,FALSE)),"")</f>
        <v>46249.834432870368</v>
      </c>
      <c r="AL858" s="715">
        <v>46274</v>
      </c>
      <c r="AM858" s="992">
        <f>IFERROR(VLOOKUP(AT858, Vessel!A:H, 8, FALSE), "")</f>
        <v>46283.041666666664</v>
      </c>
      <c r="AN858" s="992" t="str">
        <f>IFERROR(IF(VLOOKUP(AT858,Vessel!A:I,9,FALSE)=0,"",VLOOKUP(AT858,Vessel!A:I,9,FALSE)),"")</f>
        <v/>
      </c>
      <c r="AP858" s="463" t="s">
        <v>5980</v>
      </c>
      <c r="AQ858" s="463" t="s">
        <v>80</v>
      </c>
      <c r="AR858" s="463" t="s">
        <v>5981</v>
      </c>
      <c r="AS858" s="463" t="s">
        <v>5982</v>
      </c>
      <c r="AT858" s="463" t="s">
        <v>5982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46296</v>
      </c>
      <c r="AZ85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46290.041666666664</v>
      </c>
      <c r="BB858" s="989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 hidden="1">
      <c r="A859" s="463" t="s">
        <v>5983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4526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9" t="str">
        <f>_xlfn.XLOOKUP(PV_DATA[[#This Row],[New Ark SKU]],Table9[New Ark SKU],Table9[Cable],,0)</f>
        <v>±1200mm</v>
      </c>
      <c r="T859" s="989">
        <v>505</v>
      </c>
      <c r="U859" s="1214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12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5662</v>
      </c>
      <c r="AB859" s="715">
        <v>46241</v>
      </c>
      <c r="AC859" s="990">
        <f>IF(PV_DATA[[#This Row],[Pick-Up Date]]&lt;&gt;"",_xlfn.ISOWEEKNUM(PV_DATA[[#This Row],[Pick-Up Date]]),"")</f>
        <v>32</v>
      </c>
      <c r="AD859" s="463" t="s">
        <v>5984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2">
        <f>IFERROR(VLOOKUP(AT859, Vessel!A:H, 8, FALSE), "")</f>
        <v>46295.875</v>
      </c>
      <c r="AN859" s="992" t="str">
        <f>IFERROR(IF(VLOOKUP(AT859,Vessel!A:I,9,FALSE)=0,"",VLOOKUP(AT859,Vessel!A:I,9,FALSE)),"")</f>
        <v/>
      </c>
      <c r="AP859" s="463" t="s">
        <v>5985</v>
      </c>
      <c r="AQ859" s="463" t="s">
        <v>80</v>
      </c>
      <c r="AR859" s="463" t="s">
        <v>5986</v>
      </c>
      <c r="AS859" s="463" t="s">
        <v>5987</v>
      </c>
      <c r="AT859" s="463" t="s">
        <v>5987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15"/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9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91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5988</v>
      </c>
      <c r="B860" s="463" t="s">
        <v>1757</v>
      </c>
      <c r="C860" s="463" t="str">
        <f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14">
        <v>46195</v>
      </c>
      <c r="O860" s="463" t="s">
        <v>4526</v>
      </c>
      <c r="P860" s="463" t="s">
        <v>1151</v>
      </c>
      <c r="Q860" s="463" t="s">
        <v>421</v>
      </c>
      <c r="R860" s="463" t="str">
        <f>_xlfn.XLOOKUP(PV_DATA[[#This Row],[New Ark SKU]],Table9[New Ark SKU],Table9[Connector],,0)</f>
        <v>EVO2A</v>
      </c>
      <c r="S860" s="989" t="str">
        <f>_xlfn.XLOOKUP(PV_DATA[[#This Row],[New Ark SKU]],Table9[New Ark SKU],Table9[Cable],,0)</f>
        <v>±1200mm</v>
      </c>
      <c r="T860" s="989">
        <v>505</v>
      </c>
      <c r="U860" s="1214">
        <v>864</v>
      </c>
      <c r="V860" s="459">
        <f>PV_DATA[[#This Row],[QUANTITY]]*PV_DATA[[#This Row],[WATT]]/1000000</f>
        <v>0.43631999999999999</v>
      </c>
      <c r="W860" s="716">
        <f>PV_DATA[[#This Row],[QUANTITY]]/PV_DATA[[#This Row],[Qty/Pallet]]</f>
        <v>24</v>
      </c>
      <c r="X860" s="1112">
        <f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5662</v>
      </c>
      <c r="AB860" s="715">
        <v>46241</v>
      </c>
      <c r="AC860" s="990">
        <f>IF(PV_DATA[[#This Row],[Pick-Up Date]]&lt;&gt;"",_xlfn.ISOWEEKNUM(PV_DATA[[#This Row],[Pick-Up Date]]),"")</f>
        <v>32</v>
      </c>
      <c r="AD860" s="463" t="s">
        <v>5989</v>
      </c>
      <c r="AF860" s="463" t="s">
        <v>1525</v>
      </c>
      <c r="AG860" s="463" t="s">
        <v>1525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15">
        <v>46281</v>
      </c>
      <c r="AM860" s="992">
        <f>IFERROR(VLOOKUP(AT860, Vessel!A:H, 8, FALSE), "")</f>
        <v>46295.875</v>
      </c>
      <c r="AN860" s="992" t="str">
        <f>IFERROR(IF(VLOOKUP(AT860,Vessel!A:I,9,FALSE)=0,"",VLOOKUP(AT860,Vessel!A:I,9,FALSE)),"")</f>
        <v/>
      </c>
      <c r="AP860" s="463" t="s">
        <v>5985</v>
      </c>
      <c r="AQ860" s="463" t="s">
        <v>80</v>
      </c>
      <c r="AR860" s="463" t="s">
        <v>5986</v>
      </c>
      <c r="AS860" s="463" t="s">
        <v>5987</v>
      </c>
      <c r="AT860" s="463" t="s">
        <v>5987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9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991" t="str">
        <f>_xlfn.XLOOKUP(PV_DATA[[#This Row],[PORT DESTINATION]],Table12[PORT DESTINATION],Table12[Cosco Line],,0)</f>
        <v>AEU</v>
      </c>
    </row>
    <row r="861" spans="1:60" s="463" customFormat="1" ht="10.5" hidden="1" customHeight="1">
      <c r="A861" s="994" t="s">
        <v>5990</v>
      </c>
      <c r="B861" s="988" t="s">
        <v>1757</v>
      </c>
      <c r="C861" s="463" t="str">
        <f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14">
        <v>46230</v>
      </c>
      <c r="O861" s="463" t="s">
        <v>284</v>
      </c>
      <c r="P861" s="988" t="s">
        <v>5846</v>
      </c>
      <c r="Q861" s="988" t="s">
        <v>5847</v>
      </c>
      <c r="R861" s="463" t="str">
        <f>_xlfn.XLOOKUP(PV_DATA[[#This Row],[New Ark SKU]],Table9[New Ark SKU],Table9[Connector],,0)</f>
        <v>EVO2A</v>
      </c>
      <c r="S861" s="989" t="str">
        <f>_xlfn.XLOOKUP(PV_DATA[[#This Row],[New Ark SKU]],Table9[New Ark SKU],Table9[Cable],,0)</f>
        <v>±1200mm</v>
      </c>
      <c r="T861" s="995">
        <v>485</v>
      </c>
      <c r="U861" s="1217">
        <v>936</v>
      </c>
      <c r="V861" s="1165">
        <f>PV_DATA[[#This Row],[QUANTITY]]*PV_DATA[[#This Row],[WATT]]/1000000</f>
        <v>0.45395999999999997</v>
      </c>
      <c r="W861" s="1166">
        <f>PV_DATA[[#This Row],[QUANTITY]]/PV_DATA[[#This Row],[Qty/Pallet]]</f>
        <v>26</v>
      </c>
      <c r="X861" s="1112">
        <f>PV_DATA[[#This Row],[QUANTITY]]/936</f>
        <v>1</v>
      </c>
      <c r="Y861" s="463" t="s">
        <v>2463</v>
      </c>
      <c r="Z861" s="463" t="str">
        <f t="shared" si="10"/>
        <v>IN-TRANSIT</v>
      </c>
      <c r="AA861" s="988" t="s">
        <v>5848</v>
      </c>
      <c r="AB861" s="715">
        <v>46241</v>
      </c>
      <c r="AC861" s="990">
        <f>IF(PV_DATA[[#This Row],[Pick-Up Date]]&lt;&gt;"",_xlfn.ISOWEEKNUM(PV_DATA[[#This Row],[Pick-Up Date]]),"")</f>
        <v>32</v>
      </c>
      <c r="AD861" s="463" t="s">
        <v>5991</v>
      </c>
      <c r="AF861" s="988" t="s">
        <v>1525</v>
      </c>
      <c r="AG861" s="988" t="s">
        <v>5992</v>
      </c>
      <c r="AH861" s="463" t="s">
        <v>105</v>
      </c>
      <c r="AI861" s="715">
        <v>46246</v>
      </c>
      <c r="AJ861" s="715"/>
      <c r="AK861" s="438">
        <f>IFERROR(IF(VLOOKUP(AT861,Vessel!A:F,5,FALSE)=0,"",VLOOKUP(AT861,Vessel!A:F,5,FALSE)),"")</f>
        <v>46259.356724537036</v>
      </c>
      <c r="AL861" s="720">
        <v>46281</v>
      </c>
      <c r="AM861" s="992">
        <f>IFERROR(VLOOKUP(AT861, Vessel!A:H, 8, FALSE), "")</f>
        <v>46295.875</v>
      </c>
      <c r="AN861" s="992" t="str">
        <f>IFERROR(IF(VLOOKUP(AT861,Vessel!A:I,9,FALSE)=0,"",VLOOKUP(AT861,Vessel!A:I,9,FALSE)),"")</f>
        <v/>
      </c>
      <c r="AP861" s="463" t="s">
        <v>5985</v>
      </c>
      <c r="AQ861" s="463" t="s">
        <v>80</v>
      </c>
      <c r="AR861" s="463" t="s">
        <v>5986</v>
      </c>
      <c r="AS861" s="988" t="s">
        <v>5987</v>
      </c>
      <c r="AT861" s="988" t="s">
        <v>5987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15">
        <f>IFERROR(PV_DATA[[#This Row],[ODP ETA Port]]+PV_DATA[[#This Row],[Customs/Leg3 Assumption]],"n/a")</f>
        <v>46302.875</v>
      </c>
      <c r="BB861" s="989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991" t="str">
        <f>_xlfn.XLOOKUP(PV_DATA[[#This Row],[PORT DESTINATION]],Table12[PORT DESTINATION],Table12[Cosco Line],,0)</f>
        <v>AEU</v>
      </c>
    </row>
    <row r="862" spans="1:60" s="463" customFormat="1" ht="10.5" hidden="1">
      <c r="A862" s="463" t="s">
        <v>5993</v>
      </c>
      <c r="B862" s="463" t="s">
        <v>1757</v>
      </c>
      <c r="C862" s="463" t="str">
        <f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14">
        <v>46209</v>
      </c>
      <c r="O862" s="463" t="s">
        <v>4526</v>
      </c>
      <c r="P862" s="463" t="s">
        <v>1151</v>
      </c>
      <c r="Q862" s="463" t="s">
        <v>421</v>
      </c>
      <c r="R862" s="463" t="str">
        <f>_xlfn.XLOOKUP(PV_DATA[[#This Row],[New Ark SKU]],Table9[New Ark SKU],Table9[Connector],,0)</f>
        <v>EVO2A</v>
      </c>
      <c r="S862" s="989" t="str">
        <f>_xlfn.XLOOKUP(PV_DATA[[#This Row],[New Ark SKU]],Table9[New Ark SKU],Table9[Cable],,0)</f>
        <v>±1200mm</v>
      </c>
      <c r="T862" s="989">
        <v>505</v>
      </c>
      <c r="U862" s="1214">
        <v>864</v>
      </c>
      <c r="V862" s="459">
        <f>PV_DATA[[#This Row],[QUANTITY]]*PV_DATA[[#This Row],[WATT]]/1000000</f>
        <v>0.43631999999999999</v>
      </c>
      <c r="W862" s="716">
        <f>PV_DATA[[#This Row],[QUANTITY]]/PV_DATA[[#This Row],[Qty/Pallet]]</f>
        <v>24</v>
      </c>
      <c r="X862" s="1112">
        <f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15">
        <v>46241</v>
      </c>
      <c r="AC862" s="990">
        <f>IF(PV_DATA[[#This Row],[Pick-Up Date]]&lt;&gt;"",_xlfn.ISOWEEKNUM(PV_DATA[[#This Row],[Pick-Up Date]]),"")</f>
        <v>32</v>
      </c>
      <c r="AD862" s="463" t="s">
        <v>5994</v>
      </c>
      <c r="AF862" s="463" t="s">
        <v>1525</v>
      </c>
      <c r="AG862" s="463" t="s">
        <v>1525</v>
      </c>
      <c r="AH862" s="463" t="s">
        <v>78</v>
      </c>
      <c r="AI862" s="715">
        <v>46248</v>
      </c>
      <c r="AJ862" s="715"/>
      <c r="AK862" s="438">
        <f>IFERROR(IF(VLOOKUP(AT862,Vessel!A:F,5,FALSE)=0,"",VLOOKUP(AT862,Vessel!A:F,5,FALSE)),"")</f>
        <v>46254.01357638889</v>
      </c>
      <c r="AL862" s="715">
        <v>46288</v>
      </c>
      <c r="AM862" s="992">
        <f>IFERROR(VLOOKUP(AT862, Vessel!A:H, 8, FALSE), "")</f>
        <v>46297.75</v>
      </c>
      <c r="AN862" s="992" t="str">
        <f>IFERROR(IF(VLOOKUP(AT862,Vessel!A:I,9,FALSE)=0,"",VLOOKUP(AT862,Vessel!A:I,9,FALSE)),"")</f>
        <v/>
      </c>
      <c r="AP862" s="463" t="s">
        <v>5995</v>
      </c>
      <c r="AQ862" s="463" t="s">
        <v>80</v>
      </c>
      <c r="AR862" s="463" t="s">
        <v>5912</v>
      </c>
      <c r="AS862" s="463" t="s">
        <v>5996</v>
      </c>
      <c r="AT862" s="463" t="s">
        <v>5996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862" s="715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15">
        <f>IF(ISERROR(PV_DATA[[#This Row],[New Ark PO status]]),"",_xlfn.XLOOKUP(PV_DATA[[#This Row],[SPTN-PVHK New Ark PO'#]],New_Ark_Data[Purchase order Number],New_Ark_Data[Estimated time of arrival],"",0))</f>
        <v>46309</v>
      </c>
      <c r="AZ86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15">
        <f>IFERROR(PV_DATA[[#This Row],[ODP ETA Port]]+PV_DATA[[#This Row],[Customs/Leg3 Assumption]],"n/a")</f>
        <v>46305.75</v>
      </c>
      <c r="BB862" s="989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53" customFormat="1" ht="10.5" hidden="1">
      <c r="A863" s="952" t="s">
        <v>5997</v>
      </c>
      <c r="B863" s="952" t="s">
        <v>111</v>
      </c>
      <c r="C863" s="952" t="str">
        <f>IFERROR(LEFT(PV_DATA[[#This Row],[TCL REFERENCE]],FIND(".",PV_DATA[[#This Row],[TCL REFERENCE]],1)-1),"Main Line")</f>
        <v>26Jun015</v>
      </c>
      <c r="D863" s="952" t="s">
        <v>63</v>
      </c>
      <c r="E863" s="952" t="s">
        <v>144</v>
      </c>
      <c r="F863" s="95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2" t="s">
        <v>402</v>
      </c>
      <c r="H863" s="952" t="s">
        <v>1080</v>
      </c>
      <c r="I863" s="952" t="s">
        <v>689</v>
      </c>
      <c r="J863" s="953" t="s">
        <v>1080</v>
      </c>
      <c r="K863" s="953" t="s">
        <v>5394</v>
      </c>
      <c r="M863" s="953" t="s">
        <v>4962</v>
      </c>
      <c r="N863" s="955">
        <v>46202</v>
      </c>
      <c r="O863" s="953" t="s">
        <v>5374</v>
      </c>
      <c r="P863" s="953" t="s">
        <v>5395</v>
      </c>
      <c r="Q863" s="953" t="s">
        <v>5396</v>
      </c>
      <c r="R863" s="953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211">
        <v>936</v>
      </c>
      <c r="V863" s="956">
        <f>PV_DATA[[#This Row],[QUANTITY]]*PV_DATA[[#This Row],[WATT]]/1000000</f>
        <v>0.43524000000000002</v>
      </c>
      <c r="W863" s="957">
        <f>PV_DATA[[#This Row],[QUANTITY]]/PV_DATA[[#This Row],[Qty/Pallet]]</f>
        <v>26</v>
      </c>
      <c r="X863" s="1116">
        <f>PV_DATA[[#This Row],[QUANTITY]]/PV_DATA[[#This Row],[Qty/CT]]</f>
        <v>1</v>
      </c>
      <c r="Y863" s="953" t="s">
        <v>2465</v>
      </c>
      <c r="Z863" s="953" t="str">
        <f t="shared" si="10"/>
        <v/>
      </c>
      <c r="AA863" s="953" t="s">
        <v>5998</v>
      </c>
      <c r="AB863" s="734">
        <v>46248</v>
      </c>
      <c r="AC863" s="1003">
        <f>IF(PV_DATA[[#This Row],[Pick-Up Date]]&lt;&gt;"",_xlfn.ISOWEEKNUM(PV_DATA[[#This Row],[Pick-Up Date]]),"")</f>
        <v>33</v>
      </c>
      <c r="AF863" s="953" t="s">
        <v>122</v>
      </c>
      <c r="AG863" s="953" t="s">
        <v>123</v>
      </c>
      <c r="AH863" s="953" t="s">
        <v>105</v>
      </c>
      <c r="AI863" s="1009">
        <v>46253</v>
      </c>
      <c r="AJ863" s="1009"/>
      <c r="AK863" s="438"/>
      <c r="AL863" s="734">
        <v>46287</v>
      </c>
      <c r="AM863" s="958">
        <v>46287</v>
      </c>
      <c r="AN863" s="958"/>
      <c r="AP863" s="953" t="s">
        <v>5950</v>
      </c>
      <c r="AQ863" s="953" t="s">
        <v>80</v>
      </c>
      <c r="AR863" s="953" t="s">
        <v>5999</v>
      </c>
      <c r="AS863" s="953" t="s">
        <v>6000</v>
      </c>
      <c r="AT863" s="953" t="s">
        <v>6001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3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34">
        <f>IF(ISERROR(PV_DATA[[#This Row],[New Ark PO status]]),"",_xlfn.XLOOKUP(PV_DATA[[#This Row],[SPTN-PVHK New Ark PO'#]],New_Ark_Data[Purchase order Number],New_Ark_Data[Estimated time of arrival],"",0))</f>
        <v>0</v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4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53">
        <f>MONTH(PV_DATA[[#This Row],[ETA for New Ark update]])</f>
        <v>9</v>
      </c>
      <c r="BD863" s="953">
        <f>IFERROR(_xlfn.ISOWEEKNUM(PV_DATA[[#This Row],[ETA for New Ark update]]),0)</f>
        <v>39</v>
      </c>
      <c r="BE863" s="953">
        <f>_xlfn.XLOOKUP(PV_DATA[[#This Row],[New Ark SKU]],Table9[New Ark SKU],Table9[Total PCS per Pallet],,0)</f>
        <v>36</v>
      </c>
      <c r="BF863" s="953">
        <f>_xlfn.XLOOKUP(PV_DATA[[#This Row],[New Ark SKU]],Table9[New Ark SKU],Table9[Total PCS per 40HQ Container],,0)</f>
        <v>936</v>
      </c>
      <c r="BG863" s="953" t="str">
        <f>_xlfn.XLOOKUP(PV_DATA[[#This Row],[New Ark SKU]],Table9[New Ark SKU],Table9[Back Glass],,0)</f>
        <v>Black glazing</v>
      </c>
      <c r="BH863" s="95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6002</v>
      </c>
      <c r="B864" s="463" t="s">
        <v>111</v>
      </c>
      <c r="C864" s="463" t="str">
        <f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5394</v>
      </c>
      <c r="L864" s="463">
        <v>5</v>
      </c>
      <c r="M864" s="463" t="s">
        <v>4962</v>
      </c>
      <c r="N864" s="714">
        <v>46202</v>
      </c>
      <c r="O864" s="463" t="s">
        <v>5374</v>
      </c>
      <c r="P864" s="463" t="s">
        <v>5395</v>
      </c>
      <c r="Q864" s="463" t="s">
        <v>5396</v>
      </c>
      <c r="R864" s="463" t="str">
        <f>_xlfn.XLOOKUP(PV_DATA[[#This Row],[New Ark SKU]],Table9[New Ark SKU],Table9[Connector],,0)</f>
        <v>EVO2A</v>
      </c>
      <c r="S864" s="989" t="str">
        <f>_xlfn.XLOOKUP(PV_DATA[[#This Row],[New Ark SKU]],Table9[New Ark SKU],Table9[Cable],,0)</f>
        <v>±1200mm</v>
      </c>
      <c r="T864" s="989">
        <v>465</v>
      </c>
      <c r="U864" s="1214">
        <v>936</v>
      </c>
      <c r="V864" s="459">
        <f>PV_DATA[[#This Row],[QUANTITY]]*PV_DATA[[#This Row],[WATT]]/1000000</f>
        <v>0.43524000000000002</v>
      </c>
      <c r="W864" s="716">
        <f>PV_DATA[[#This Row],[QUANTITY]]/PV_DATA[[#This Row],[Qty/Pallet]]</f>
        <v>26</v>
      </c>
      <c r="X864" s="1112">
        <f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5848</v>
      </c>
      <c r="AB864" s="715">
        <v>46248</v>
      </c>
      <c r="AC864" s="990">
        <f>IF(PV_DATA[[#This Row],[Pick-Up Date]]&lt;&gt;"",_xlfn.ISOWEEKNUM(PV_DATA[[#This Row],[Pick-Up Date]]),"")</f>
        <v>33</v>
      </c>
      <c r="AD864" s="463" t="s">
        <v>6003</v>
      </c>
      <c r="AE864" s="463" t="s">
        <v>6003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46254.231863425928</v>
      </c>
      <c r="AL864" s="715">
        <v>46287</v>
      </c>
      <c r="AM864" s="992">
        <v>46287</v>
      </c>
      <c r="AN864" s="992"/>
      <c r="AP864" s="463" t="s">
        <v>5950</v>
      </c>
      <c r="AQ864" s="463" t="s">
        <v>80</v>
      </c>
      <c r="AR864" s="463" t="s">
        <v>6004</v>
      </c>
      <c r="AS864" s="463" t="s">
        <v>6001</v>
      </c>
      <c r="AT864" s="463" t="s">
        <v>6001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46287</v>
      </c>
      <c r="AZ86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15">
        <f>IFERROR(PV_DATA[[#This Row],[ODP ETA Port]]+PV_DATA[[#This Row],[Customs/Leg3 Assumption]],"n/a")</f>
        <v>46287</v>
      </c>
      <c r="BB864" s="989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991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6005</v>
      </c>
      <c r="B865" s="463" t="s">
        <v>111</v>
      </c>
      <c r="C865" s="463" t="str">
        <f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15" t="s">
        <v>67</v>
      </c>
      <c r="I865" s="463" t="s">
        <v>689</v>
      </c>
      <c r="J865" s="463" t="s">
        <v>96</v>
      </c>
      <c r="K865" s="1167"/>
      <c r="L865" s="1167"/>
      <c r="M865" s="463" t="s">
        <v>68</v>
      </c>
      <c r="N865" s="714">
        <v>46181</v>
      </c>
      <c r="O865" s="463" t="s">
        <v>4526</v>
      </c>
      <c r="P865" s="463" t="s">
        <v>5036</v>
      </c>
      <c r="Q865" s="463" t="s">
        <v>1807</v>
      </c>
      <c r="R865" s="463" t="str">
        <f>_xlfn.XLOOKUP(PV_DATA[[#This Row],[New Ark SKU]],Table9[New Ark SKU],Table9[Connector],,0)</f>
        <v>H4(Com)</v>
      </c>
      <c r="S865" s="989" t="str">
        <f>_xlfn.XLOOKUP(PV_DATA[[#This Row],[New Ark SKU]],Table9[New Ark SKU],Table9[Cable],,0)</f>
        <v>+400mm/-200mm</v>
      </c>
      <c r="T865" s="989">
        <v>720</v>
      </c>
      <c r="U865" s="1214">
        <f>594*9</f>
        <v>5346</v>
      </c>
      <c r="V865" s="1013">
        <f>PV_DATA[[#This Row],[QUANTITY]]*PV_DATA[[#This Row],[WATT]]/1000000</f>
        <v>3.8491200000000001</v>
      </c>
      <c r="W865" s="716">
        <f>PV_DATA[[#This Row],[QUANTITY]]/PV_DATA[[#This Row],[Qty/Pallet]]</f>
        <v>162</v>
      </c>
      <c r="X865" s="1112">
        <f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5389</v>
      </c>
      <c r="AB865" s="715">
        <v>46249</v>
      </c>
      <c r="AC865" s="990">
        <f>IF(PV_DATA[[#This Row],[Pick-Up Date]]&lt;&gt;"",_xlfn.ISOWEEKNUM(PV_DATA[[#This Row],[Pick-Up Date]]),"")</f>
        <v>33</v>
      </c>
      <c r="AD865" s="716" t="s">
        <v>6006</v>
      </c>
      <c r="AE865" s="716" t="s">
        <v>6006</v>
      </c>
      <c r="AF865" s="463" t="s">
        <v>122</v>
      </c>
      <c r="AG865" s="463" t="s">
        <v>123</v>
      </c>
      <c r="AH865" s="463" t="s">
        <v>105</v>
      </c>
      <c r="AI865" s="715">
        <v>46253</v>
      </c>
      <c r="AJ865" s="715"/>
      <c r="AK865" s="438">
        <f>IFERROR(IF(VLOOKUP(AT865,Vessel!A:F,5,FALSE)=0,"",VLOOKUP(AT865,Vessel!A:F,5,FALSE)),"")</f>
        <v>46253.207060185188</v>
      </c>
      <c r="AL865" s="715">
        <v>46287</v>
      </c>
      <c r="AM865" s="992">
        <f>IFERROR(VLOOKUP(AT865, Vessel!A:H, 8, FALSE), "")</f>
        <v>46298.791666666664</v>
      </c>
      <c r="AN865" s="992" t="str">
        <f>IFERROR(IF(VLOOKUP(AT865,Vessel!A:I,9,FALSE)=0,"",VLOOKUP(AT865,Vessel!A:I,9,FALSE)),"")</f>
        <v/>
      </c>
      <c r="AP865" s="463" t="s">
        <v>5950</v>
      </c>
      <c r="AQ865" s="463" t="s">
        <v>80</v>
      </c>
      <c r="AR865" s="463" t="s">
        <v>6007</v>
      </c>
      <c r="AS865" s="463" t="s">
        <v>6008</v>
      </c>
      <c r="AT865" s="463" t="s">
        <v>6008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15"/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46311</v>
      </c>
      <c r="AZ8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46305.791666666664</v>
      </c>
      <c r="BB865" s="989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 hidden="1">
      <c r="A866" s="463" t="s">
        <v>6009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9" t="str">
        <f>_xlfn.XLOOKUP(PV_DATA[[#This Row],[New Ark SKU]],Table9[New Ark SKU],Table9[Cable],,0)</f>
        <v>±1350mm</v>
      </c>
      <c r="T866" s="989">
        <v>515</v>
      </c>
      <c r="U866" s="1214">
        <f>792*5</f>
        <v>3960</v>
      </c>
      <c r="V866" s="459">
        <f>PV_DATA[[#This Row],[QUANTITY]]*PV_DATA[[#This Row],[WATT]]/1000000</f>
        <v>2.0394000000000001</v>
      </c>
      <c r="W866" s="716">
        <f>PV_DATA[[#This Row],[QUANTITY]]/PV_DATA[[#This Row],[Qty/Pallet]]</f>
        <v>110</v>
      </c>
      <c r="X866" s="1112">
        <f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5848</v>
      </c>
      <c r="AB866" s="715">
        <v>46249</v>
      </c>
      <c r="AC866" s="990">
        <f>IF(PV_DATA[[#This Row],[Pick-Up Date]]&lt;&gt;"",_xlfn.ISOWEEKNUM(PV_DATA[[#This Row],[Pick-Up Date]]),"")</f>
        <v>33</v>
      </c>
      <c r="AD866" s="463" t="s">
        <v>6010</v>
      </c>
      <c r="AE866" s="463" t="s">
        <v>6010</v>
      </c>
      <c r="AF866" s="463" t="s">
        <v>122</v>
      </c>
      <c r="AG866" s="463" t="s">
        <v>123</v>
      </c>
      <c r="AH866" s="463" t="s">
        <v>105</v>
      </c>
      <c r="AI866" s="715">
        <v>46251</v>
      </c>
      <c r="AJ866" s="715"/>
      <c r="AK866" s="438">
        <f>IFERROR(IF(VLOOKUP(AT866,Vessel!A:F,5,FALSE)=0,"",VLOOKUP(AT866,Vessel!A:F,5,FALSE)),"")</f>
        <v>46254.231863425928</v>
      </c>
      <c r="AL866" s="1272">
        <v>46288</v>
      </c>
      <c r="AM866" s="1382">
        <f>IFERROR(VLOOKUP(AT866, Vessel!A:H, 8, FALSE), "")</f>
        <v>46289.625</v>
      </c>
      <c r="AN866" s="992" t="str">
        <f>IFERROR(IF(VLOOKUP(AT866,Vessel!A:I,9,FALSE)=0,"",VLOOKUP(AT866,Vessel!A:I,9,FALSE)),"")</f>
        <v/>
      </c>
      <c r="AP866" s="463" t="s">
        <v>6011</v>
      </c>
      <c r="AQ866" s="993" t="s">
        <v>80</v>
      </c>
      <c r="AR866" s="463" t="s">
        <v>6012</v>
      </c>
      <c r="AS866" s="463" t="s">
        <v>6013</v>
      </c>
      <c r="AT866" s="463" t="s">
        <v>6013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35.393136574071832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46296.625</v>
      </c>
      <c r="BB866" s="989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42" hidden="1">
      <c r="A867" s="463" t="s">
        <v>6014</v>
      </c>
      <c r="B867" s="463" t="s">
        <v>111</v>
      </c>
      <c r="C867" s="463" t="str">
        <f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14">
        <v>46209</v>
      </c>
      <c r="O867" s="463" t="s">
        <v>550</v>
      </c>
      <c r="P867" s="463" t="s">
        <v>2134</v>
      </c>
      <c r="Q867" s="463" t="s">
        <v>2135</v>
      </c>
      <c r="R867" s="463" t="str">
        <f>_xlfn.XLOOKUP(PV_DATA[[#This Row],[New Ark SKU]],Table9[New Ark SKU],Table9[Connector],,0)</f>
        <v>EVO2A</v>
      </c>
      <c r="S867" s="989" t="str">
        <f>_xlfn.XLOOKUP(PV_DATA[[#This Row],[New Ark SKU]],Table9[New Ark SKU],Table9[Cable],,0)</f>
        <v>±1350mm</v>
      </c>
      <c r="T867" s="989">
        <v>515</v>
      </c>
      <c r="U867" s="1214">
        <f>792*2</f>
        <v>1584</v>
      </c>
      <c r="V867" s="459">
        <f>PV_DATA[[#This Row],[QUANTITY]]*PV_DATA[[#This Row],[WATT]]/1000000</f>
        <v>0.81576000000000004</v>
      </c>
      <c r="W867" s="716">
        <f>PV_DATA[[#This Row],[QUANTITY]]/PV_DATA[[#This Row],[Qty/Pallet]]</f>
        <v>44</v>
      </c>
      <c r="X867" s="1112">
        <f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5848</v>
      </c>
      <c r="AB867" s="715">
        <v>46242</v>
      </c>
      <c r="AC867" s="990">
        <f>IF(PV_DATA[[#This Row],[Pick-Up Date]]&lt;&gt;"",_xlfn.ISOWEEKNUM(PV_DATA[[#This Row],[Pick-Up Date]]),"")</f>
        <v>32</v>
      </c>
      <c r="AD867" s="463" t="s">
        <v>6015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1122">
        <v>46248</v>
      </c>
      <c r="AL867" s="1272">
        <v>46298</v>
      </c>
      <c r="AM867" s="1380">
        <f>IFERROR(VLOOKUP(AT867, Vessel!A:H, 8, FALSE), "")</f>
        <v>46284.427083333336</v>
      </c>
      <c r="AN867" s="992" t="str">
        <f>IFERROR(IF(VLOOKUP(AT867,Vessel!A:I,9,FALSE)=0,"",VLOOKUP(AT867,Vessel!A:I,9,FALSE)),"")</f>
        <v/>
      </c>
      <c r="AP867" s="1017" t="s">
        <v>6016</v>
      </c>
      <c r="AQ867" s="463" t="s">
        <v>80</v>
      </c>
      <c r="AR867" s="463" t="s">
        <v>6017</v>
      </c>
      <c r="AS867" s="463" t="s">
        <v>6018</v>
      </c>
      <c r="AT867" s="463" t="s">
        <v>6018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46291.427083333336</v>
      </c>
      <c r="BB867" s="989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6019</v>
      </c>
      <c r="B868" s="463" t="s">
        <v>111</v>
      </c>
      <c r="C868" s="463" t="str">
        <f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14">
        <v>46223</v>
      </c>
      <c r="O868" s="463" t="s">
        <v>132</v>
      </c>
      <c r="P868" s="463" t="s">
        <v>1062</v>
      </c>
      <c r="Q868" s="463" t="s">
        <v>1063</v>
      </c>
      <c r="R868" s="463" t="str">
        <f>_xlfn.XLOOKUP(PV_DATA[[#This Row],[New Ark SKU]],Table9[New Ark SKU],Table9[Connector],,0)</f>
        <v>EVO2A</v>
      </c>
      <c r="S868" s="989" t="str">
        <f>_xlfn.XLOOKUP(PV_DATA[[#This Row],[New Ark SKU]],Table9[New Ark SKU],Table9[Cable],,0)</f>
        <v>±1200mm</v>
      </c>
      <c r="T868" s="989">
        <v>470</v>
      </c>
      <c r="U868" s="1214">
        <f>864*3</f>
        <v>2592</v>
      </c>
      <c r="V868" s="459">
        <f>PV_DATA[[#This Row],[QUANTITY]]*PV_DATA[[#This Row],[WATT]]/1000000</f>
        <v>1.21824</v>
      </c>
      <c r="W868" s="716">
        <f>PV_DATA[[#This Row],[QUANTITY]]/PV_DATA[[#This Row],[Qty/Pallet]]</f>
        <v>72</v>
      </c>
      <c r="X868" s="1112">
        <f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6020</v>
      </c>
      <c r="AB868" s="715">
        <v>46242</v>
      </c>
      <c r="AC868" s="990">
        <f>IF(PV_DATA[[#This Row],[Pick-Up Date]]&lt;&gt;"",_xlfn.ISOWEEKNUM(PV_DATA[[#This Row],[Pick-Up Date]]),"")</f>
        <v>32</v>
      </c>
      <c r="AD868" s="463" t="s">
        <v>6021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715">
        <v>46298</v>
      </c>
      <c r="AM868" s="992">
        <f>IFERROR(VLOOKUP(AT868, Vessel!A:H, 8, FALSE), "")</f>
        <v>46284.427083333336</v>
      </c>
      <c r="AN868" s="992" t="str">
        <f>IFERROR(IF(VLOOKUP(AT868,Vessel!A:I,9,FALSE)=0,"",VLOOKUP(AT868,Vessel!A:I,9,FALSE)),"")</f>
        <v/>
      </c>
      <c r="AP868" s="463" t="s">
        <v>6016</v>
      </c>
      <c r="AQ868" s="463" t="s">
        <v>80</v>
      </c>
      <c r="AR868" s="463" t="s">
        <v>6017</v>
      </c>
      <c r="AS868" s="463" t="s">
        <v>6018</v>
      </c>
      <c r="AT868" s="463" t="s">
        <v>6018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46291.427083333336</v>
      </c>
      <c r="BB868" s="989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6022</v>
      </c>
      <c r="B869" s="463" t="s">
        <v>111</v>
      </c>
      <c r="C869" s="463" t="str">
        <f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14">
        <v>46209</v>
      </c>
      <c r="O869" s="463" t="s">
        <v>550</v>
      </c>
      <c r="P869" s="463" t="s">
        <v>2134</v>
      </c>
      <c r="Q869" s="463" t="s">
        <v>2135</v>
      </c>
      <c r="R869" s="463" t="str">
        <f>_xlfn.XLOOKUP(PV_DATA[[#This Row],[New Ark SKU]],Table9[New Ark SKU],Table9[Connector],,0)</f>
        <v>EVO2A</v>
      </c>
      <c r="S869" s="989" t="str">
        <f>_xlfn.XLOOKUP(PV_DATA[[#This Row],[New Ark SKU]],Table9[New Ark SKU],Table9[Cable],,0)</f>
        <v>±1350mm</v>
      </c>
      <c r="T869" s="989">
        <v>515</v>
      </c>
      <c r="U869" s="1214">
        <v>1584</v>
      </c>
      <c r="V869" s="459">
        <f>PV_DATA[[#This Row],[QUANTITY]]*PV_DATA[[#This Row],[WATT]]/1000000</f>
        <v>0.81576000000000004</v>
      </c>
      <c r="W869" s="716">
        <f>PV_DATA[[#This Row],[QUANTITY]]/PV_DATA[[#This Row],[Qty/Pallet]]</f>
        <v>44</v>
      </c>
      <c r="X869" s="1112">
        <f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15">
        <v>46242</v>
      </c>
      <c r="AC869" s="990">
        <f>IF(PV_DATA[[#This Row],[Pick-Up Date]]&lt;&gt;"",_xlfn.ISOWEEKNUM(PV_DATA[[#This Row],[Pick-Up Date]]),"")</f>
        <v>32</v>
      </c>
      <c r="AD869" s="463" t="s">
        <v>6023</v>
      </c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46250</v>
      </c>
      <c r="AK869" s="438">
        <v>46248</v>
      </c>
      <c r="AL869" s="1272">
        <v>46298</v>
      </c>
      <c r="AM869" s="1380">
        <f>IFERROR(VLOOKUP(AT869, Vessel!A:H, 8, FALSE), "")</f>
        <v>46284.427083333336</v>
      </c>
      <c r="AN869" s="992" t="str">
        <f>IFERROR(IF(VLOOKUP(AT869,Vessel!A:I,9,FALSE)=0,"",VLOOKUP(AT869,Vessel!A:I,9,FALSE)),"")</f>
        <v/>
      </c>
      <c r="AP869" s="463" t="s">
        <v>6016</v>
      </c>
      <c r="AQ869" s="463" t="s">
        <v>80</v>
      </c>
      <c r="AR869" s="463" t="s">
        <v>6017</v>
      </c>
      <c r="AS869" s="463" t="s">
        <v>6018</v>
      </c>
      <c r="AT869" s="463" t="s">
        <v>6018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46303</v>
      </c>
      <c r="AZ86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46291.427083333336</v>
      </c>
      <c r="BB869" s="989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991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6024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67" t="s">
        <v>1451</v>
      </c>
      <c r="L870" s="1167">
        <v>42</v>
      </c>
      <c r="M870" s="463" t="s">
        <v>68</v>
      </c>
      <c r="N870" s="714">
        <v>46181</v>
      </c>
      <c r="O870" s="463" t="s">
        <v>4526</v>
      </c>
      <c r="P870" s="463" t="s">
        <v>5052</v>
      </c>
      <c r="Q870" s="463" t="s">
        <v>1484</v>
      </c>
      <c r="R870" s="463" t="str">
        <f>_xlfn.XLOOKUP(PV_DATA[[#This Row],[New Ark SKU]],Table9[New Ark SKU],Table9[Connector],,0)</f>
        <v>H4(Com)</v>
      </c>
      <c r="S870" s="989" t="str">
        <f>_xlfn.XLOOKUP(PV_DATA[[#This Row],[New Ark SKU]],Table9[New Ark SKU],Table9[Cable],,0)</f>
        <v>+400mm/-200mm</v>
      </c>
      <c r="T870" s="989">
        <v>725</v>
      </c>
      <c r="U870" s="1214">
        <f>594*1</f>
        <v>594</v>
      </c>
      <c r="V870" s="1013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12">
        <f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5389</v>
      </c>
      <c r="AB870" s="715">
        <v>46241</v>
      </c>
      <c r="AC870" s="990">
        <f>IF(PV_DATA[[#This Row],[Pick-Up Date]]&lt;&gt;"",_xlfn.ISOWEEKNUM(PV_DATA[[#This Row],[Pick-Up Date]]),"")</f>
        <v>32</v>
      </c>
      <c r="AD870" s="716" t="s">
        <v>6025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2">
        <f>IFERROR(VLOOKUP(AT870, Vessel!A:H, 8, FALSE), "")</f>
        <v>46284.427083333336</v>
      </c>
      <c r="AN870" s="992" t="str">
        <f>IFERROR(IF(VLOOKUP(AT870,Vessel!A:I,9,FALSE)=0,"",VLOOKUP(AT870,Vessel!A:I,9,FALSE)),"")</f>
        <v/>
      </c>
      <c r="AP870" s="463" t="s">
        <v>6016</v>
      </c>
      <c r="AQ870" s="463" t="s">
        <v>80</v>
      </c>
      <c r="AR870" s="463" t="s">
        <v>6026</v>
      </c>
      <c r="AS870" s="463" t="s">
        <v>6027</v>
      </c>
      <c r="AT870" s="463" t="s">
        <v>6027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46291.427083333336</v>
      </c>
      <c r="BB870" s="989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6028</v>
      </c>
      <c r="B871" s="463" t="s">
        <v>111</v>
      </c>
      <c r="C871" s="463" t="str">
        <f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K871" s="1167" t="s">
        <v>1451</v>
      </c>
      <c r="L871" s="1167">
        <v>53</v>
      </c>
      <c r="M871" s="463" t="s">
        <v>68</v>
      </c>
      <c r="N871" s="714">
        <v>46181</v>
      </c>
      <c r="O871" s="463" t="s">
        <v>4526</v>
      </c>
      <c r="P871" s="463" t="s">
        <v>5052</v>
      </c>
      <c r="Q871" s="463" t="s">
        <v>1484</v>
      </c>
      <c r="R871" s="463" t="str">
        <f>_xlfn.XLOOKUP(PV_DATA[[#This Row],[New Ark SKU]],Table9[New Ark SKU],Table9[Connector],,0)</f>
        <v>H4(Com)</v>
      </c>
      <c r="S871" s="989" t="str">
        <f>_xlfn.XLOOKUP(PV_DATA[[#This Row],[New Ark SKU]],Table9[New Ark SKU],Table9[Cable],,0)</f>
        <v>+400mm/-200mm</v>
      </c>
      <c r="T871" s="989">
        <v>725</v>
      </c>
      <c r="U871" s="1214">
        <v>594</v>
      </c>
      <c r="V871" s="1013">
        <f>PV_DATA[[#This Row],[QUANTITY]]*PV_DATA[[#This Row],[WATT]]/1000000</f>
        <v>0.43064999999999998</v>
      </c>
      <c r="W871" s="716">
        <f>PV_DATA[[#This Row],[QUANTITY]]/PV_DATA[[#This Row],[Qty/Pallet]]</f>
        <v>18</v>
      </c>
      <c r="X871" s="1112">
        <f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5389</v>
      </c>
      <c r="AB871" s="715">
        <v>46241</v>
      </c>
      <c r="AC871" s="990">
        <f>IF(PV_DATA[[#This Row],[Pick-Up Date]]&lt;&gt;"",_xlfn.ISOWEEKNUM(PV_DATA[[#This Row],[Pick-Up Date]]),"")</f>
        <v>32</v>
      </c>
      <c r="AD871" s="716" t="s">
        <v>6029</v>
      </c>
      <c r="AE871" s="716"/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2">
        <f>IFERROR(VLOOKUP(AT871, Vessel!A:H, 8, FALSE), "")</f>
        <v>46284.427083333336</v>
      </c>
      <c r="AN871" s="992" t="str">
        <f>IFERROR(IF(VLOOKUP(AT871,Vessel!A:I,9,FALSE)=0,"",VLOOKUP(AT871,Vessel!A:I,9,FALSE)),"")</f>
        <v/>
      </c>
      <c r="AP871" s="463" t="s">
        <v>5795</v>
      </c>
      <c r="AQ871" s="463" t="s">
        <v>80</v>
      </c>
      <c r="AR871" s="463" t="s">
        <v>6026</v>
      </c>
      <c r="AS871" s="463" t="s">
        <v>6027</v>
      </c>
      <c r="AT871" s="463" t="s">
        <v>6027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46291.427083333336</v>
      </c>
      <c r="BB871" s="989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 hidden="1">
      <c r="A872" s="463" t="s">
        <v>6030</v>
      </c>
      <c r="B872" s="463" t="s">
        <v>111</v>
      </c>
      <c r="C872" s="463" t="str">
        <f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63" t="s">
        <v>96</v>
      </c>
      <c r="M872" s="463" t="s">
        <v>68</v>
      </c>
      <c r="N872" s="714">
        <v>46167</v>
      </c>
      <c r="O872" s="463" t="s">
        <v>4526</v>
      </c>
      <c r="P872" s="463" t="s">
        <v>4587</v>
      </c>
      <c r="Q872" s="463" t="s">
        <v>330</v>
      </c>
      <c r="R872" s="463" t="str">
        <f>_xlfn.XLOOKUP(PV_DATA[[#This Row],[New Ark SKU]],Table9[New Ark SKU],Table9[Connector],,0)</f>
        <v>H4(Com)</v>
      </c>
      <c r="S872" s="989" t="str">
        <f>_xlfn.XLOOKUP(PV_DATA[[#This Row],[New Ark SKU]],Table9[New Ark SKU],Table9[Cable],,0)</f>
        <v>+400mm/-200mm</v>
      </c>
      <c r="T872" s="989">
        <v>625</v>
      </c>
      <c r="U872" s="1214">
        <f>720*1</f>
        <v>720</v>
      </c>
      <c r="V872" s="1013">
        <f>PV_DATA[[#This Row],[QUANTITY]]*PV_DATA[[#This Row],[WATT]]/1000000</f>
        <v>0.45</v>
      </c>
      <c r="W872" s="716">
        <f>PV_DATA[[#This Row],[QUANTITY]]/PV_DATA[[#This Row],[Qty/Pallet]]</f>
        <v>20</v>
      </c>
      <c r="X872" s="1112">
        <f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5389</v>
      </c>
      <c r="AB872" s="715">
        <v>46241</v>
      </c>
      <c r="AC872" s="990">
        <f>IF(PV_DATA[[#This Row],[Pick-Up Date]]&lt;&gt;"",_xlfn.ISOWEEKNUM(PV_DATA[[#This Row],[Pick-Up Date]]),"")</f>
        <v>32</v>
      </c>
      <c r="AD872" s="463" t="s">
        <v>6031</v>
      </c>
      <c r="AF872" s="463" t="s">
        <v>122</v>
      </c>
      <c r="AG872" s="463" t="s">
        <v>123</v>
      </c>
      <c r="AH872" s="463" t="s">
        <v>105</v>
      </c>
      <c r="AI872" s="715">
        <v>46250</v>
      </c>
      <c r="AJ872" s="715">
        <v>46249</v>
      </c>
      <c r="AK872" s="438">
        <v>46248</v>
      </c>
      <c r="AL872" s="715">
        <v>46298</v>
      </c>
      <c r="AM872" s="992">
        <f>IFERROR(VLOOKUP(AT872, Vessel!A:H, 8, FALSE), "")</f>
        <v>46284.427083333336</v>
      </c>
      <c r="AN872" s="992" t="str">
        <f>IFERROR(IF(VLOOKUP(AT872,Vessel!A:I,9,FALSE)=0,"",VLOOKUP(AT872,Vessel!A:I,9,FALSE)),"")</f>
        <v/>
      </c>
      <c r="AP872" s="463" t="s">
        <v>6016</v>
      </c>
      <c r="AQ872" s="463" t="s">
        <v>80</v>
      </c>
      <c r="AR872" s="463" t="s">
        <v>6026</v>
      </c>
      <c r="AS872" s="463" t="s">
        <v>6027</v>
      </c>
      <c r="AT872" s="463" t="s">
        <v>6027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2" s="715"/>
      <c r="AW872" s="71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15">
        <f>IF(ISERROR(PV_DATA[[#This Row],[New Ark PO status]]),"",_xlfn.XLOOKUP(PV_DATA[[#This Row],[SPTN-PVHK New Ark PO'#]],New_Ark_Data[Purchase order Number],New_Ark_Data[Estimated time of arrival],"",0))</f>
        <v>46300</v>
      </c>
      <c r="AZ87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15">
        <f>IFERROR(PV_DATA[[#This Row],[ODP ETA Port]]+PV_DATA[[#This Row],[Customs/Leg3 Assumption]],"n/a")</f>
        <v>46291.427083333336</v>
      </c>
      <c r="BB872" s="989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 hidden="1">
      <c r="A873" s="463" t="s">
        <v>6032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4526</v>
      </c>
      <c r="P873" s="431" t="s">
        <v>5052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207">
        <f>594*5</f>
        <v>2970</v>
      </c>
      <c r="V873" s="546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10">
        <f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5389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6033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6034</v>
      </c>
      <c r="AQ873" s="431" t="s">
        <v>161</v>
      </c>
      <c r="AR873" s="431" t="s">
        <v>6035</v>
      </c>
      <c r="AS873" s="431" t="s">
        <v>6036</v>
      </c>
      <c r="AT873" s="431" t="s">
        <v>6036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6037</v>
      </c>
      <c r="B874" s="463" t="s">
        <v>111</v>
      </c>
      <c r="C874" s="463" t="str">
        <f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15" t="s">
        <v>67</v>
      </c>
      <c r="I874" s="463" t="s">
        <v>689</v>
      </c>
      <c r="J874" s="431" t="s">
        <v>96</v>
      </c>
      <c r="K874" s="616" t="s">
        <v>1451</v>
      </c>
      <c r="L874" s="616">
        <v>44</v>
      </c>
      <c r="M874" s="431" t="s">
        <v>68</v>
      </c>
      <c r="N874" s="433">
        <v>46181</v>
      </c>
      <c r="O874" s="431" t="s">
        <v>4526</v>
      </c>
      <c r="P874" s="431" t="s">
        <v>5052</v>
      </c>
      <c r="Q874" s="431" t="s">
        <v>1484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207">
        <f>594*2</f>
        <v>1188</v>
      </c>
      <c r="V874" s="546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10">
        <f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5389</v>
      </c>
      <c r="AB874" s="438">
        <v>46255</v>
      </c>
      <c r="AC874" s="487">
        <f>IF(PV_DATA[[#This Row],[Pick-Up Date]]&lt;&gt;"",_xlfn.ISOWEEKNUM(PV_DATA[[#This Row],[Pick-Up Date]]),"")</f>
        <v>34</v>
      </c>
      <c r="AD874" s="436" t="s">
        <v>6038</v>
      </c>
      <c r="AE874" s="436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6034</v>
      </c>
      <c r="AQ874" s="431" t="s">
        <v>161</v>
      </c>
      <c r="AR874" s="431" t="s">
        <v>6035</v>
      </c>
      <c r="AS874" s="431" t="s">
        <v>6039</v>
      </c>
      <c r="AT874" s="431" t="s">
        <v>6039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21" hidden="1">
      <c r="A875" s="463" t="s">
        <v>6040</v>
      </c>
      <c r="B875" s="463" t="s">
        <v>111</v>
      </c>
      <c r="C875" s="463" t="str">
        <f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4526</v>
      </c>
      <c r="P875" s="431" t="s">
        <v>4587</v>
      </c>
      <c r="Q875" s="431" t="s">
        <v>330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207">
        <f>720*1</f>
        <v>720</v>
      </c>
      <c r="V875" s="546">
        <f>PV_DATA[[#This Row],[QUANTITY]]*PV_DATA[[#This Row],[WATT]]/1000000</f>
        <v>0.45</v>
      </c>
      <c r="W875" s="436">
        <f>PV_DATA[[#This Row],[QUANTITY]]/PV_DATA[[#This Row],[Qty/Pallet]]</f>
        <v>20</v>
      </c>
      <c r="X875" s="1110">
        <f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5389</v>
      </c>
      <c r="AB875" s="438">
        <v>46255</v>
      </c>
      <c r="AC875" s="487">
        <f>IF(PV_DATA[[#This Row],[Pick-Up Date]]&lt;&gt;"",_xlfn.ISOWEEKNUM(PV_DATA[[#This Row],[Pick-Up Date]]),"")</f>
        <v>34</v>
      </c>
      <c r="AD875" s="430" t="s">
        <v>6041</v>
      </c>
      <c r="AE875" s="431"/>
      <c r="AF875" s="431" t="s">
        <v>122</v>
      </c>
      <c r="AG875" s="431" t="s">
        <v>123</v>
      </c>
      <c r="AH875" s="431" t="s">
        <v>105</v>
      </c>
      <c r="AI875" s="715">
        <v>46258</v>
      </c>
      <c r="AJ875" s="715">
        <v>46267</v>
      </c>
      <c r="AK875" s="438">
        <v>46267</v>
      </c>
      <c r="AL875" s="438">
        <v>46295</v>
      </c>
      <c r="AM875" s="590"/>
      <c r="AN875" s="590"/>
      <c r="AP875" s="431" t="s">
        <v>6034</v>
      </c>
      <c r="AQ875" s="1162" t="s">
        <v>161</v>
      </c>
      <c r="AR875" s="431" t="s">
        <v>6035</v>
      </c>
      <c r="AS875" s="431" t="s">
        <v>6039</v>
      </c>
      <c r="AT875" s="431" t="s">
        <v>6039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6042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53</v>
      </c>
      <c r="M876" s="431" t="s">
        <v>68</v>
      </c>
      <c r="N876" s="433">
        <v>46181</v>
      </c>
      <c r="O876" s="431" t="s">
        <v>4526</v>
      </c>
      <c r="P876" s="431" t="s">
        <v>5052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207">
        <v>4752</v>
      </c>
      <c r="V876" s="546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11">
        <f>PV_DATA[[#This Row],[QUANTITY]]/PV_DATA[[#This Row],[Qty/CT]]</f>
        <v>8</v>
      </c>
      <c r="Y876" s="869" t="s">
        <v>2460</v>
      </c>
      <c r="Z876" s="431" t="str">
        <f t="shared" si="10"/>
        <v>IN-TRANSIT</v>
      </c>
      <c r="AA876" s="431" t="s">
        <v>5389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6043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46284.427083333336</v>
      </c>
      <c r="AN876" s="590" t="str">
        <f>IFERROR(IF(VLOOKUP(AT876,Vessel!A:I,9,FALSE)=0,"",VLOOKUP(AT876,Vessel!A:I,9,FALSE)),"")</f>
        <v/>
      </c>
      <c r="AP876" s="431" t="s">
        <v>5795</v>
      </c>
      <c r="AQ876" s="431" t="s">
        <v>80</v>
      </c>
      <c r="AR876" s="431" t="s">
        <v>6044</v>
      </c>
      <c r="AS876" s="431" t="s">
        <v>6045</v>
      </c>
      <c r="AT876" s="431" t="s">
        <v>6045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46291.427083333336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 hidden="1">
      <c r="A877" s="463" t="s">
        <v>6046</v>
      </c>
      <c r="B877" s="463" t="s">
        <v>111</v>
      </c>
      <c r="C877" s="463" t="str">
        <f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31" t="s">
        <v>96</v>
      </c>
      <c r="K877" s="616" t="s">
        <v>1451</v>
      </c>
      <c r="L877" s="616">
        <v>44</v>
      </c>
      <c r="M877" s="431" t="s">
        <v>68</v>
      </c>
      <c r="N877" s="433">
        <v>46181</v>
      </c>
      <c r="O877" s="431" t="s">
        <v>4526</v>
      </c>
      <c r="P877" s="431" t="s">
        <v>5052</v>
      </c>
      <c r="Q877" s="431" t="s">
        <v>1484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207">
        <v>1188</v>
      </c>
      <c r="V877" s="546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10">
        <f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5389</v>
      </c>
      <c r="AB877" s="438">
        <v>46246</v>
      </c>
      <c r="AC877" s="487">
        <f>IF(PV_DATA[[#This Row],[Pick-Up Date]]&lt;&gt;"",_xlfn.ISOWEEKNUM(PV_DATA[[#This Row],[Pick-Up Date]]),"")</f>
        <v>33</v>
      </c>
      <c r="AD877" s="436" t="s">
        <v>6047</v>
      </c>
      <c r="AE877" s="436"/>
      <c r="AF877" s="431" t="s">
        <v>122</v>
      </c>
      <c r="AG877" s="431" t="s">
        <v>123</v>
      </c>
      <c r="AH877" s="431" t="s">
        <v>105</v>
      </c>
      <c r="AI877" s="715">
        <v>46249</v>
      </c>
      <c r="AK877" s="438">
        <v>46248</v>
      </c>
      <c r="AL877" s="438">
        <v>46282</v>
      </c>
      <c r="AM877" s="590">
        <f>IFERROR(VLOOKUP(AT877, Vessel!A:H, 8, FALSE), "")</f>
        <v>46284.427083333336</v>
      </c>
      <c r="AN877" s="590" t="str">
        <f>IFERROR(IF(VLOOKUP(AT877,Vessel!A:I,9,FALSE)=0,"",VLOOKUP(AT877,Vessel!A:I,9,FALSE)),"")</f>
        <v/>
      </c>
      <c r="AP877" s="431" t="s">
        <v>5795</v>
      </c>
      <c r="AQ877" s="431" t="s">
        <v>80</v>
      </c>
      <c r="AR877" s="431" t="s">
        <v>6044</v>
      </c>
      <c r="AS877" s="431" t="s">
        <v>6045</v>
      </c>
      <c r="AT877" s="431" t="s">
        <v>6045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46291.427083333336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2" customFormat="1" ht="10.5" hidden="1">
      <c r="A878" s="463" t="s">
        <v>6048</v>
      </c>
      <c r="B878" s="463" t="s">
        <v>111</v>
      </c>
      <c r="C878" s="463" t="str">
        <f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15" t="s">
        <v>67</v>
      </c>
      <c r="I878" s="463" t="s">
        <v>689</v>
      </c>
      <c r="J878" s="463" t="s">
        <v>96</v>
      </c>
      <c r="K878" s="1167" t="s">
        <v>1451</v>
      </c>
      <c r="L878" s="1167">
        <v>52</v>
      </c>
      <c r="M878" s="463" t="s">
        <v>68</v>
      </c>
      <c r="N878" s="714">
        <v>46181</v>
      </c>
      <c r="O878" s="463" t="s">
        <v>4526</v>
      </c>
      <c r="P878" s="463" t="s">
        <v>5036</v>
      </c>
      <c r="Q878" s="463" t="s">
        <v>1807</v>
      </c>
      <c r="R878" s="463" t="str">
        <f>_xlfn.XLOOKUP(PV_DATA[[#This Row],[New Ark SKU]],Table9[New Ark SKU],Table9[Connector],,0)</f>
        <v>H4(Com)</v>
      </c>
      <c r="S878" s="989" t="str">
        <f>_xlfn.XLOOKUP(PV_DATA[[#This Row],[New Ark SKU]],Table9[New Ark SKU],Table9[Cable],,0)</f>
        <v>+400mm/-200mm</v>
      </c>
      <c r="T878" s="989">
        <v>720</v>
      </c>
      <c r="U878" s="1214">
        <v>1782</v>
      </c>
      <c r="V878" s="1013">
        <f>PV_DATA[[#This Row],[QUANTITY]]*PV_DATA[[#This Row],[WATT]]/1000000</f>
        <v>1.28304</v>
      </c>
      <c r="W878" s="716">
        <f>PV_DATA[[#This Row],[QUANTITY]]/PV_DATA[[#This Row],[Qty/Pallet]]</f>
        <v>54</v>
      </c>
      <c r="X878" s="1112">
        <f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5389</v>
      </c>
      <c r="AB878" s="715">
        <v>46245</v>
      </c>
      <c r="AC878" s="990">
        <f>IF(PV_DATA[[#This Row],[Pick-Up Date]]&lt;&gt;"",_xlfn.ISOWEEKNUM(PV_DATA[[#This Row],[Pick-Up Date]]),"")</f>
        <v>33</v>
      </c>
      <c r="AD878" s="716" t="s">
        <v>6049</v>
      </c>
      <c r="AE878" s="716"/>
      <c r="AF878" s="463" t="s">
        <v>122</v>
      </c>
      <c r="AG878" s="463" t="s">
        <v>123</v>
      </c>
      <c r="AH878" s="463" t="s">
        <v>105</v>
      </c>
      <c r="AI878" s="715">
        <v>46249</v>
      </c>
      <c r="AJ878" s="715"/>
      <c r="AK878" s="1122">
        <v>46248</v>
      </c>
      <c r="AL878" s="715">
        <v>46282</v>
      </c>
      <c r="AM878" s="992">
        <f>IFERROR(VLOOKUP(AT878, Vessel!A:H, 8, FALSE), "")</f>
        <v>46284.427083333336</v>
      </c>
      <c r="AN878" s="992" t="str">
        <f>IFERROR(IF(VLOOKUP(AT878,Vessel!A:I,9,FALSE)=0,"",VLOOKUP(AT878,Vessel!A:I,9,FALSE)),"")</f>
        <v/>
      </c>
      <c r="AO878" s="463"/>
      <c r="AP878" s="463" t="s">
        <v>5795</v>
      </c>
      <c r="AQ878" s="463" t="s">
        <v>80</v>
      </c>
      <c r="AR878" s="463" t="s">
        <v>6050</v>
      </c>
      <c r="AS878" s="463" t="s">
        <v>6051</v>
      </c>
      <c r="AT878" s="463" t="s">
        <v>6051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8" s="715"/>
      <c r="AW878" s="7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15">
        <f>IF(ISERROR(PV_DATA[[#This Row],[New Ark PO status]]),"",_xlfn.XLOOKUP(PV_DATA[[#This Row],[SPTN-PVHK New Ark PO'#]],New_Ark_Data[Purchase order Number],New_Ark_Data[Estimated time of arrival],"",0))</f>
        <v>46300</v>
      </c>
      <c r="AZ87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15">
        <f>IFERROR(PV_DATA[[#This Row],[ODP ETA Port]]+PV_DATA[[#This Row],[Customs/Leg3 Assumption]],"n/a")</f>
        <v>46291.427083333336</v>
      </c>
      <c r="BB878" s="989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47" customFormat="1" ht="10.5" hidden="1">
      <c r="A879" s="447" t="s">
        <v>6052</v>
      </c>
      <c r="B879" s="447" t="s">
        <v>111</v>
      </c>
      <c r="C879" s="447" t="str">
        <f>IFERROR(LEFT(PV_DATA[[#This Row],[TCL REFERENCE]],FIND(".",PV_DATA[[#This Row],[TCL REFERENCE]],1)-1),"Main Line")</f>
        <v>26May012</v>
      </c>
      <c r="D879" s="447" t="s">
        <v>63</v>
      </c>
      <c r="E879" s="447" t="s">
        <v>144</v>
      </c>
      <c r="F879" s="447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47" t="s">
        <v>402</v>
      </c>
      <c r="H879" s="720" t="s">
        <v>670</v>
      </c>
      <c r="I879" s="447" t="s">
        <v>882</v>
      </c>
      <c r="J879" s="447" t="s">
        <v>5886</v>
      </c>
      <c r="K879" s="447" t="s">
        <v>5887</v>
      </c>
      <c r="L879" s="447">
        <v>27</v>
      </c>
      <c r="M879" s="447" t="s">
        <v>4962</v>
      </c>
      <c r="N879" s="1414">
        <v>46167</v>
      </c>
      <c r="O879" s="447" t="s">
        <v>4526</v>
      </c>
      <c r="P879" s="447" t="s">
        <v>4592</v>
      </c>
      <c r="Q879" s="447" t="s">
        <v>4593</v>
      </c>
      <c r="R879" s="447" t="str">
        <f>_xlfn.XLOOKUP(PV_DATA[[#This Row],[New Ark SKU]],Table9[New Ark SKU],Table9[Connector],,0)</f>
        <v>H4(Com)</v>
      </c>
      <c r="S879" s="718" t="str">
        <f>_xlfn.XLOOKUP(PV_DATA[[#This Row],[New Ark SKU]],Table9[New Ark SKU],Table9[Cable],,0)</f>
        <v>+400mm/-200mm</v>
      </c>
      <c r="T879" s="718">
        <v>630</v>
      </c>
      <c r="U879" s="1415">
        <v>4320</v>
      </c>
      <c r="V879" s="1416">
        <f>PV_DATA[[#This Row],[QUANTITY]]*PV_DATA[[#This Row],[WATT]]/1000000</f>
        <v>2.7216</v>
      </c>
      <c r="W879" s="719">
        <f>PV_DATA[[#This Row],[QUANTITY]]/PV_DATA[[#This Row],[Qty/Pallet]]</f>
        <v>120</v>
      </c>
      <c r="X879" s="1143">
        <f>PV_DATA[[#This Row],[QUANTITY]]/PV_DATA[[#This Row],[Qty/CT]]</f>
        <v>6</v>
      </c>
      <c r="Y879" s="447" t="s">
        <v>2463</v>
      </c>
      <c r="Z879" s="447" t="str">
        <f t="shared" si="10"/>
        <v>IN-TRANSIT</v>
      </c>
      <c r="AA879" s="447" t="s">
        <v>5389</v>
      </c>
      <c r="AB879" s="720">
        <v>46245</v>
      </c>
      <c r="AC879" s="1417">
        <f>IF(PV_DATA[[#This Row],[Pick-Up Date]]&lt;&gt;"",_xlfn.ISOWEEKNUM(PV_DATA[[#This Row],[Pick-Up Date]]),"")</f>
        <v>33</v>
      </c>
      <c r="AD879" s="447" t="s">
        <v>6053</v>
      </c>
      <c r="AF879" s="447" t="s">
        <v>122</v>
      </c>
      <c r="AG879" s="447" t="s">
        <v>123</v>
      </c>
      <c r="AH879" s="447" t="s">
        <v>105</v>
      </c>
      <c r="AI879" s="720">
        <v>46249</v>
      </c>
      <c r="AJ879" s="720"/>
      <c r="AK879" s="456">
        <v>46248</v>
      </c>
      <c r="AL879" s="720">
        <v>46282</v>
      </c>
      <c r="AM879" s="1418">
        <f>IFERROR(VLOOKUP(AT879, Vessel!A:H, 8, FALSE), "")</f>
        <v>46284.427083333336</v>
      </c>
      <c r="AN879" s="1418" t="str">
        <f>IFERROR(IF(VLOOKUP(AT879,Vessel!A:I,9,FALSE)=0,"",VLOOKUP(AT879,Vessel!A:I,9,FALSE)),"")</f>
        <v/>
      </c>
      <c r="AP879" s="447" t="s">
        <v>5795</v>
      </c>
      <c r="AQ879" s="447" t="s">
        <v>80</v>
      </c>
      <c r="AR879" s="447" t="s">
        <v>6054</v>
      </c>
      <c r="AS879" s="471" t="s">
        <v>6055</v>
      </c>
      <c r="AT879" s="447" t="s">
        <v>6051</v>
      </c>
      <c r="AU879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9" s="720"/>
      <c r="AW879" s="720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9" s="71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20">
        <f>IF(ISERROR(PV_DATA[[#This Row],[New Ark PO status]]),"",_xlfn.XLOOKUP(PV_DATA[[#This Row],[SPTN-PVHK New Ark PO'#]],New_Ark_Data[Purchase order Number],New_Ark_Data[Estimated time of arrival],"",0))</f>
        <v>46300</v>
      </c>
      <c r="AZ879" s="71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20">
        <f>IFERROR(PV_DATA[[#This Row],[ODP ETA Port]]+PV_DATA[[#This Row],[Customs/Leg3 Assumption]],"n/a")</f>
        <v>46284.427083333336</v>
      </c>
      <c r="BB879" s="718">
        <f>YEAR(PV_DATA[[#This Row],[ETA for New Ark update]])</f>
        <v>2026</v>
      </c>
      <c r="BC879" s="447">
        <f>MONTH(PV_DATA[[#This Row],[ETA for New Ark update]])</f>
        <v>9</v>
      </c>
      <c r="BD879" s="447">
        <f>IFERROR(_xlfn.ISOWEEKNUM(PV_DATA[[#This Row],[ETA for New Ark update]]),0)</f>
        <v>38</v>
      </c>
      <c r="BE879" s="447">
        <f>_xlfn.XLOOKUP(PV_DATA[[#This Row],[New Ark SKU]],Table9[New Ark SKU],Table9[Total PCS per Pallet],,0)</f>
        <v>36</v>
      </c>
      <c r="BF879" s="447">
        <f>_xlfn.XLOOKUP(PV_DATA[[#This Row],[New Ark SKU]],Table9[New Ark SKU],Table9[Total PCS per 40HQ Container],,0)</f>
        <v>720</v>
      </c>
      <c r="BG879" s="447" t="str">
        <f>_xlfn.XLOOKUP(PV_DATA[[#This Row],[New Ark SKU]],Table9[New Ark SKU],Table9[Back Glass],,0)</f>
        <v>Transparent</v>
      </c>
      <c r="BH879" s="447" t="str">
        <f>_xlfn.XLOOKUP(PV_DATA[[#This Row],[PORT DESTINATION]],Table12[PORT DESTINATION],Table12[Cosco Line],,0)</f>
        <v>AEU</v>
      </c>
    </row>
    <row r="880" spans="1:62" s="463" customFormat="1" ht="10.5" hidden="1">
      <c r="A880" s="463" t="s">
        <v>6056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9" t="str">
        <f>_xlfn.XLOOKUP(PV_DATA[[#This Row],[New Ark SKU]],Table9[New Ark SKU],Table9[Cable],,0)</f>
        <v>±1200mm</v>
      </c>
      <c r="T880" s="989">
        <v>465</v>
      </c>
      <c r="U880" s="1214">
        <v>864</v>
      </c>
      <c r="V880" s="459">
        <f>PV_DATA[[#This Row],[QUANTITY]]*PV_DATA[[#This Row],[WATT]]/1000000</f>
        <v>0.40176000000000001</v>
      </c>
      <c r="W880" s="716">
        <f>PV_DATA[[#This Row],[QUANTITY]]/PV_DATA[[#This Row],[Qty/Pallet]]</f>
        <v>24</v>
      </c>
      <c r="X880" s="1112">
        <f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15">
        <v>46247</v>
      </c>
      <c r="AC880" s="990">
        <f>IF(PV_DATA[[#This Row],[Pick-Up Date]]&lt;&gt;"",_xlfn.ISOWEEKNUM(PV_DATA[[#This Row],[Pick-Up Date]]),"")</f>
        <v>33</v>
      </c>
      <c r="AD880" s="463" t="s">
        <v>6057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2">
        <f>IFERROR(VLOOKUP(AT880, Vessel!A:H, 8, FALSE), "")</f>
        <v>46289.25</v>
      </c>
      <c r="AN880" s="992" t="str">
        <f>IFERROR(IF(VLOOKUP(AT880,Vessel!A:I,9,FALSE)=0,"",VLOOKUP(AT880,Vessel!A:I,9,FALSE)),"")</f>
        <v/>
      </c>
      <c r="AP880" s="463" t="s">
        <v>6058</v>
      </c>
      <c r="AQ880" s="993" t="s">
        <v>80</v>
      </c>
      <c r="AR880" s="463" t="s">
        <v>6059</v>
      </c>
      <c r="AS880" s="463" t="s">
        <v>6060</v>
      </c>
      <c r="AT880" s="463" t="s">
        <v>6060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46297.25</v>
      </c>
      <c r="BB880" s="989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6061</v>
      </c>
      <c r="B881" s="463" t="s">
        <v>111</v>
      </c>
      <c r="C881" s="463" t="str">
        <f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189</v>
      </c>
      <c r="Q881" s="463" t="s">
        <v>190</v>
      </c>
      <c r="R881" s="463" t="str">
        <f>_xlfn.XLOOKUP(PV_DATA[[#This Row],[New Ark SKU]],Table9[New Ark SKU],Table9[Connector],,0)</f>
        <v>EVO2A</v>
      </c>
      <c r="S881" s="989" t="str">
        <f>_xlfn.XLOOKUP(PV_DATA[[#This Row],[New Ark SKU]],Table9[New Ark SKU],Table9[Cable],,0)</f>
        <v>±1200mm</v>
      </c>
      <c r="T881" s="989">
        <v>465</v>
      </c>
      <c r="U881" s="1214">
        <f>864*3</f>
        <v>2592</v>
      </c>
      <c r="V881" s="459">
        <f>PV_DATA[[#This Row],[QUANTITY]]*PV_DATA[[#This Row],[WATT]]/1000000</f>
        <v>1.2052799999999999</v>
      </c>
      <c r="W881" s="716">
        <f>PV_DATA[[#This Row],[QUANTITY]]/PV_DATA[[#This Row],[Qty/Pallet]]</f>
        <v>72</v>
      </c>
      <c r="X881" s="1112">
        <f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15">
        <v>46247</v>
      </c>
      <c r="AC881" s="990">
        <f>IF(PV_DATA[[#This Row],[Pick-Up Date]]&lt;&gt;"",_xlfn.ISOWEEKNUM(PV_DATA[[#This Row],[Pick-Up Date]]),"")</f>
        <v>33</v>
      </c>
      <c r="AD881" s="463" t="s">
        <v>6062</v>
      </c>
      <c r="AF881" s="463" t="s">
        <v>122</v>
      </c>
      <c r="AG881" s="463" t="s">
        <v>123</v>
      </c>
      <c r="AH881" s="463" t="s">
        <v>78</v>
      </c>
      <c r="AI881" s="715">
        <v>46254</v>
      </c>
      <c r="AJ881" s="715"/>
      <c r="AK881" s="715">
        <f>IFERROR(IF(VLOOKUP(AT881,Vessel!A:F,5,FALSE)=0,"",VLOOKUP(AT881,Vessel!A:F,5,FALSE)),"")</f>
        <v>46253.978368055556</v>
      </c>
      <c r="AL881" s="715">
        <v>46295</v>
      </c>
      <c r="AM881" s="992">
        <f>IFERROR(VLOOKUP(AT881, Vessel!A:H, 8, FALSE), "")</f>
        <v>46289.25</v>
      </c>
      <c r="AN881" s="992" t="str">
        <f>IFERROR(IF(VLOOKUP(AT881,Vessel!A:I,9,FALSE)=0,"",VLOOKUP(AT881,Vessel!A:I,9,FALSE)),"")</f>
        <v/>
      </c>
      <c r="AP881" s="463" t="s">
        <v>6058</v>
      </c>
      <c r="AQ881" s="993" t="s">
        <v>80</v>
      </c>
      <c r="AR881" s="463" t="s">
        <v>6059</v>
      </c>
      <c r="AS881" s="463" t="s">
        <v>6060</v>
      </c>
      <c r="AT881" s="463" t="s">
        <v>6060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46302</v>
      </c>
      <c r="AZ88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46297.25</v>
      </c>
      <c r="BB881" s="989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6063</v>
      </c>
      <c r="B882" s="463" t="s">
        <v>111</v>
      </c>
      <c r="C882" s="463" t="str">
        <f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14">
        <v>46223</v>
      </c>
      <c r="O882" s="463" t="s">
        <v>132</v>
      </c>
      <c r="P882" s="463" t="s">
        <v>1062</v>
      </c>
      <c r="Q882" s="463" t="s">
        <v>1063</v>
      </c>
      <c r="R882" s="463" t="str">
        <f>_xlfn.XLOOKUP(PV_DATA[[#This Row],[New Ark SKU]],Table9[New Ark SKU],Table9[Connector],,0)</f>
        <v>EVO2A</v>
      </c>
      <c r="S882" s="989" t="str">
        <f>_xlfn.XLOOKUP(PV_DATA[[#This Row],[New Ark SKU]],Table9[New Ark SKU],Table9[Cable],,0)</f>
        <v>±1200mm</v>
      </c>
      <c r="T882" s="989">
        <v>470</v>
      </c>
      <c r="U882" s="1214">
        <f>864*3</f>
        <v>2592</v>
      </c>
      <c r="V882" s="459">
        <f>PV_DATA[[#This Row],[QUANTITY]]*PV_DATA[[#This Row],[WATT]]/1000000</f>
        <v>1.21824</v>
      </c>
      <c r="W882" s="716">
        <f>PV_DATA[[#This Row],[QUANTITY]]/PV_DATA[[#This Row],[Qty/Pallet]]</f>
        <v>72</v>
      </c>
      <c r="X882" s="1112">
        <f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15">
        <v>46253</v>
      </c>
      <c r="AC882" s="990">
        <f>IF(PV_DATA[[#This Row],[Pick-Up Date]]&lt;&gt;"",_xlfn.ISOWEEKNUM(PV_DATA[[#This Row],[Pick-Up Date]]),"")</f>
        <v>34</v>
      </c>
      <c r="AD882" s="463" t="s">
        <v>6064</v>
      </c>
      <c r="AE882" s="463" t="s">
        <v>6064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715">
        <v>46307</v>
      </c>
      <c r="AM882" s="992">
        <f>IFERROR(VLOOKUP(AT882, Vessel!A:H, 8, FALSE), "")</f>
        <v>46317.75</v>
      </c>
      <c r="AN882" s="992" t="str">
        <f>IFERROR(IF(VLOOKUP(AT882,Vessel!A:I,9,FALSE)=0,"",VLOOKUP(AT882,Vessel!A:I,9,FALSE)),"")</f>
        <v/>
      </c>
      <c r="AP882" s="463" t="s">
        <v>6065</v>
      </c>
      <c r="AQ882" s="993" t="s">
        <v>80</v>
      </c>
      <c r="AR882" s="463" t="s">
        <v>6066</v>
      </c>
      <c r="AS882" s="463" t="s">
        <v>6067</v>
      </c>
      <c r="AT882" s="463" t="s">
        <v>6067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46325.75</v>
      </c>
      <c r="BB882" s="989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 hidden="1">
      <c r="A883" s="463" t="s">
        <v>6068</v>
      </c>
      <c r="B883" s="463" t="s">
        <v>111</v>
      </c>
      <c r="C883" s="463" t="str">
        <f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14">
        <v>46209</v>
      </c>
      <c r="O883" s="463" t="s">
        <v>550</v>
      </c>
      <c r="P883" s="463" t="s">
        <v>551</v>
      </c>
      <c r="Q883" s="463" t="s">
        <v>2151</v>
      </c>
      <c r="R883" s="463" t="str">
        <f>_xlfn.XLOOKUP(PV_DATA[[#This Row],[New Ark SKU]],Table9[New Ark SKU],Table9[Connector],,0)</f>
        <v>EVO2A</v>
      </c>
      <c r="S883" s="989" t="str">
        <f>_xlfn.XLOOKUP(PV_DATA[[#This Row],[New Ark SKU]],Table9[New Ark SKU],Table9[Cable],,0)</f>
        <v>±1350mm</v>
      </c>
      <c r="T883" s="989">
        <v>510</v>
      </c>
      <c r="U883" s="1214">
        <v>1584</v>
      </c>
      <c r="V883" s="459">
        <f>PV_DATA[[#This Row],[QUANTITY]]*PV_DATA[[#This Row],[WATT]]/1000000</f>
        <v>0.80784</v>
      </c>
      <c r="W883" s="716">
        <f>PV_DATA[[#This Row],[QUANTITY]]/PV_DATA[[#This Row],[Qty/Pallet]]</f>
        <v>44</v>
      </c>
      <c r="X883" s="1112">
        <f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15">
        <v>46253</v>
      </c>
      <c r="AC883" s="990">
        <f>IF(PV_DATA[[#This Row],[Pick-Up Date]]&lt;&gt;"",_xlfn.ISOWEEKNUM(PV_DATA[[#This Row],[Pick-Up Date]]),"")</f>
        <v>34</v>
      </c>
      <c r="AD883" s="463" t="s">
        <v>6069</v>
      </c>
      <c r="AE883" s="463" t="s">
        <v>6069</v>
      </c>
      <c r="AF883" s="463" t="s">
        <v>122</v>
      </c>
      <c r="AG883" s="463" t="s">
        <v>123</v>
      </c>
      <c r="AH883" s="463" t="s">
        <v>78</v>
      </c>
      <c r="AI883" s="715">
        <v>46259</v>
      </c>
      <c r="AJ883" s="715">
        <v>46263</v>
      </c>
      <c r="AK883" s="715">
        <f>IFERROR(IF(VLOOKUP(AT883,Vessel!A:F,5,FALSE)=0,"",VLOOKUP(AT883,Vessel!A:F,5,FALSE)),"")</f>
        <v>46263.48333333333</v>
      </c>
      <c r="AL883" s="1272">
        <v>46307</v>
      </c>
      <c r="AM883" s="1382">
        <f>IFERROR(VLOOKUP(AT883, Vessel!A:H, 8, FALSE), "")</f>
        <v>46317.75</v>
      </c>
      <c r="AN883" s="992" t="str">
        <f>IFERROR(IF(VLOOKUP(AT883,Vessel!A:I,9,FALSE)=0,"",VLOOKUP(AT883,Vessel!A:I,9,FALSE)),"")</f>
        <v/>
      </c>
      <c r="AP883" s="463" t="s">
        <v>6065</v>
      </c>
      <c r="AQ883" s="463" t="s">
        <v>80</v>
      </c>
      <c r="AR883" s="463" t="s">
        <v>6066</v>
      </c>
      <c r="AS883" s="463" t="s">
        <v>6067</v>
      </c>
      <c r="AT883" s="463" t="s">
        <v>6067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3" s="71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15">
        <f>IF(ISERROR(PV_DATA[[#This Row],[New Ark PO status]]),"",_xlfn.XLOOKUP(PV_DATA[[#This Row],[SPTN-PVHK New Ark PO'#]],New_Ark_Data[Purchase order Number],New_Ark_Data[Estimated time of arrival],"",0))</f>
        <v>46316</v>
      </c>
      <c r="AZ883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15">
        <f>IFERROR(PV_DATA[[#This Row],[ODP ETA Port]]+PV_DATA[[#This Row],[Customs/Leg3 Assumption]],"n/a")</f>
        <v>46325.75</v>
      </c>
      <c r="BB883" s="989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44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 hidden="1">
      <c r="A884" s="463" t="s">
        <v>6070</v>
      </c>
      <c r="B884" s="463" t="s">
        <v>1757</v>
      </c>
      <c r="C884" s="463" t="str">
        <f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4526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207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10">
        <f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5143</v>
      </c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6071</v>
      </c>
      <c r="AE884" s="431"/>
      <c r="AF884" s="460" t="s">
        <v>5029</v>
      </c>
      <c r="AG884" s="460" t="s">
        <v>123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6072</v>
      </c>
      <c r="AQ884" s="431" t="s">
        <v>161</v>
      </c>
      <c r="AR884" s="431" t="s">
        <v>6073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463" t="s">
        <v>6074</v>
      </c>
      <c r="B885" s="463" t="s">
        <v>1757</v>
      </c>
      <c r="C885" s="463" t="str">
        <f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4526</v>
      </c>
      <c r="P885" s="431" t="s">
        <v>71</v>
      </c>
      <c r="Q885" s="431" t="s">
        <v>72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207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10">
        <f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6075</v>
      </c>
      <c r="AE885" s="431"/>
      <c r="AF885" s="460" t="s">
        <v>5029</v>
      </c>
      <c r="AG885" s="460" t="s">
        <v>5840</v>
      </c>
      <c r="AH885" s="431" t="s">
        <v>78</v>
      </c>
      <c r="AI885" s="715">
        <v>46253</v>
      </c>
      <c r="AJ885" s="715">
        <v>46267</v>
      </c>
      <c r="AK885" s="438">
        <v>46267</v>
      </c>
      <c r="AL885" s="438">
        <v>46302</v>
      </c>
      <c r="AN885" s="590"/>
      <c r="AP885" s="431" t="s">
        <v>6072</v>
      </c>
      <c r="AQ885" s="439" t="s">
        <v>161</v>
      </c>
      <c r="AR885" s="431" t="s">
        <v>6073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732" t="s">
        <v>6076</v>
      </c>
      <c r="B886" s="463" t="s">
        <v>111</v>
      </c>
      <c r="C886" s="463" t="str">
        <f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5374</v>
      </c>
      <c r="P886" s="431" t="s">
        <v>5730</v>
      </c>
      <c r="Q886" s="431" t="s">
        <v>5731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207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10">
        <f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5">
        <v>46257</v>
      </c>
      <c r="AC886" s="487">
        <f>IF(PV_DATA[[#This Row],[Pick-Up Date]]&lt;&gt;"",_xlfn.ISOWEEKNUM(PV_DATA[[#This Row],[Pick-Up Date]]),"")</f>
        <v>34</v>
      </c>
      <c r="AD886" s="431" t="s">
        <v>6077</v>
      </c>
      <c r="AE886" s="431"/>
      <c r="AF886" s="431" t="s">
        <v>122</v>
      </c>
      <c r="AG886" s="431" t="s">
        <v>123</v>
      </c>
      <c r="AH886" s="431" t="s">
        <v>78</v>
      </c>
      <c r="AI886" s="715">
        <v>46253</v>
      </c>
      <c r="AJ886" s="438">
        <v>46267</v>
      </c>
      <c r="AK886" s="438">
        <v>46267</v>
      </c>
      <c r="AL886" s="438">
        <v>46302</v>
      </c>
      <c r="AN886" s="590"/>
      <c r="AP886" s="431" t="s">
        <v>6072</v>
      </c>
      <c r="AQ886" s="439" t="s">
        <v>161</v>
      </c>
      <c r="AR886" s="431" t="s">
        <v>6078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6079</v>
      </c>
      <c r="B887" s="463" t="s">
        <v>111</v>
      </c>
      <c r="C887" s="463" t="str">
        <f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207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10">
        <f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6080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438">
        <v>46302</v>
      </c>
      <c r="AN887" s="590"/>
      <c r="AP887" s="431" t="s">
        <v>6081</v>
      </c>
      <c r="AQ887" s="431" t="s">
        <v>161</v>
      </c>
      <c r="AR887" s="431" t="s">
        <v>6082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2" t="str">
        <f>_xlfn.XLOOKUP(PV_DATA[[#This Row],[PORT DESTINATION]],Table12[PORT DESTINATION],Table12[Cosco Line],,0)</f>
        <v>AEM</v>
      </c>
      <c r="BJ887" s="431"/>
    </row>
    <row r="888" spans="1:62" ht="10.5" hidden="1">
      <c r="A888" s="463" t="s">
        <v>6083</v>
      </c>
      <c r="B888" s="463" t="s">
        <v>111</v>
      </c>
      <c r="C888" s="463" t="str">
        <f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207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10">
        <f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7">
        <f>IF(PV_DATA[[#This Row],[Pick-Up Date]]&lt;&gt;"",_xlfn.ISOWEEKNUM(PV_DATA[[#This Row],[Pick-Up Date]]),"")</f>
        <v>35</v>
      </c>
      <c r="AD888" s="431" t="s">
        <v>6084</v>
      </c>
      <c r="AE888" s="431"/>
      <c r="AF888" s="431" t="s">
        <v>122</v>
      </c>
      <c r="AG888" s="431" t="s">
        <v>123</v>
      </c>
      <c r="AH888" s="431" t="s">
        <v>78</v>
      </c>
      <c r="AI888" s="715">
        <v>46256</v>
      </c>
      <c r="AJ888" s="438">
        <v>46265</v>
      </c>
      <c r="AK888" s="438">
        <v>46265</v>
      </c>
      <c r="AL888" s="1272">
        <v>46302</v>
      </c>
      <c r="AM888" s="1381"/>
      <c r="AN888" s="590"/>
      <c r="AP888" s="431" t="s">
        <v>6081</v>
      </c>
      <c r="AQ888" s="431" t="s">
        <v>161</v>
      </c>
      <c r="AR888" s="431" t="s">
        <v>6082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6085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5331</v>
      </c>
      <c r="P889" s="463" t="s">
        <v>5332</v>
      </c>
      <c r="Q889" s="463" t="s">
        <v>5333</v>
      </c>
      <c r="R889" s="463" t="str">
        <f>_xlfn.XLOOKUP(PV_DATA[[#This Row],[New Ark SKU]],Table9[New Ark SKU],Table9[Connector],,0)</f>
        <v>EVO2A</v>
      </c>
      <c r="S889" s="989" t="str">
        <f>_xlfn.XLOOKUP(PV_DATA[[#This Row],[New Ark SKU]],Table9[New Ark SKU],Table9[Cable],,0)</f>
        <v>±1400mm</v>
      </c>
      <c r="T889" s="989">
        <v>580</v>
      </c>
      <c r="U889" s="1214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12">
        <f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5645</v>
      </c>
      <c r="AB889" s="715">
        <v>46253</v>
      </c>
      <c r="AC889" s="990">
        <f>IF(PV_DATA[[#This Row],[Pick-Up Date]]&lt;&gt;"",_xlfn.ISOWEEKNUM(PV_DATA[[#This Row],[Pick-Up Date]]),"")</f>
        <v>34</v>
      </c>
      <c r="AD889" s="463" t="s">
        <v>6086</v>
      </c>
      <c r="AE889" s="463" t="s">
        <v>6086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2">
        <f>IFERROR(VLOOKUP(AT889, Vessel!A:H, 8, FALSE), "")</f>
        <v>46320.375</v>
      </c>
      <c r="AN889" s="992" t="str">
        <f>IFERROR(IF(VLOOKUP(AT889,Vessel!A:I,9,FALSE)=0,"",VLOOKUP(AT889,Vessel!A:I,9,FALSE)),"")</f>
        <v/>
      </c>
      <c r="AP889" s="463" t="s">
        <v>6065</v>
      </c>
      <c r="AQ889" s="993" t="s">
        <v>80</v>
      </c>
      <c r="AR889" s="463" t="s">
        <v>6087</v>
      </c>
      <c r="AS889" s="463" t="s">
        <v>6088</v>
      </c>
      <c r="AT889" s="463" t="s">
        <v>6088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46329.375</v>
      </c>
      <c r="BB889" s="989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6089</v>
      </c>
      <c r="B890" s="463" t="s">
        <v>111</v>
      </c>
      <c r="C890" s="463" t="str">
        <f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14">
        <v>46202</v>
      </c>
      <c r="O890" s="463" t="s">
        <v>5331</v>
      </c>
      <c r="P890" s="463" t="s">
        <v>5332</v>
      </c>
      <c r="Q890" s="463" t="s">
        <v>5333</v>
      </c>
      <c r="R890" s="463" t="str">
        <f>_xlfn.XLOOKUP(PV_DATA[[#This Row],[New Ark SKU]],Table9[New Ark SKU],Table9[Connector],,0)</f>
        <v>EVO2A</v>
      </c>
      <c r="S890" s="989" t="str">
        <f>_xlfn.XLOOKUP(PV_DATA[[#This Row],[New Ark SKU]],Table9[New Ark SKU],Table9[Cable],,0)</f>
        <v>±1400mm</v>
      </c>
      <c r="T890" s="989">
        <v>580</v>
      </c>
      <c r="U890" s="1214">
        <v>720</v>
      </c>
      <c r="V890" s="459">
        <f>PV_DATA[[#This Row],[QUANTITY]]*PV_DATA[[#This Row],[WATT]]/1000000</f>
        <v>0.41760000000000003</v>
      </c>
      <c r="W890" s="716">
        <f>PV_DATA[[#This Row],[QUANTITY]]/PV_DATA[[#This Row],[Qty/Pallet]]</f>
        <v>20</v>
      </c>
      <c r="X890" s="1112">
        <f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5645</v>
      </c>
      <c r="AB890" s="715">
        <v>46253</v>
      </c>
      <c r="AC890" s="990">
        <f>IF(PV_DATA[[#This Row],[Pick-Up Date]]&lt;&gt;"",_xlfn.ISOWEEKNUM(PV_DATA[[#This Row],[Pick-Up Date]]),"")</f>
        <v>34</v>
      </c>
      <c r="AD890" s="463" t="s">
        <v>6090</v>
      </c>
      <c r="AE890" s="463" t="s">
        <v>6090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2">
        <f>IFERROR(VLOOKUP(AT890, Vessel!A:H, 8, FALSE), "")</f>
        <v>46320.375</v>
      </c>
      <c r="AN890" s="992" t="str">
        <f>IFERROR(IF(VLOOKUP(AT890,Vessel!A:I,9,FALSE)=0,"",VLOOKUP(AT890,Vessel!A:I,9,FALSE)),"")</f>
        <v/>
      </c>
      <c r="AP890" s="463" t="s">
        <v>6065</v>
      </c>
      <c r="AQ890" s="993" t="s">
        <v>80</v>
      </c>
      <c r="AR890" s="463" t="s">
        <v>6087</v>
      </c>
      <c r="AS890" s="463" t="s">
        <v>6088</v>
      </c>
      <c r="AT890" s="463" t="s">
        <v>6088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46329.375</v>
      </c>
      <c r="BB890" s="989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6091</v>
      </c>
      <c r="B891" s="463" t="s">
        <v>111</v>
      </c>
      <c r="C891" s="463" t="str">
        <f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14">
        <v>46202</v>
      </c>
      <c r="O891" s="463" t="s">
        <v>5331</v>
      </c>
      <c r="P891" s="463" t="s">
        <v>5550</v>
      </c>
      <c r="Q891" s="463" t="s">
        <v>5551</v>
      </c>
      <c r="R891" s="463" t="str">
        <f>_xlfn.XLOOKUP(PV_DATA[[#This Row],[New Ark SKU]],Table9[New Ark SKU],Table9[Connector],,0)</f>
        <v>EVO2A</v>
      </c>
      <c r="S891" s="989" t="str">
        <f>_xlfn.XLOOKUP(PV_DATA[[#This Row],[New Ark SKU]],Table9[New Ark SKU],Table9[Cable],,0)</f>
        <v>±1400mm</v>
      </c>
      <c r="T891" s="989">
        <v>585</v>
      </c>
      <c r="U891" s="1214">
        <f>720*2</f>
        <v>1440</v>
      </c>
      <c r="V891" s="459">
        <f>PV_DATA[[#This Row],[QUANTITY]]*PV_DATA[[#This Row],[WATT]]/1000000</f>
        <v>0.84240000000000004</v>
      </c>
      <c r="W891" s="716">
        <f>PV_DATA[[#This Row],[QUANTITY]]/PV_DATA[[#This Row],[Qty/Pallet]]</f>
        <v>40</v>
      </c>
      <c r="X891" s="1112">
        <f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5645</v>
      </c>
      <c r="AB891" s="715">
        <v>46253</v>
      </c>
      <c r="AC891" s="990">
        <f>IF(PV_DATA[[#This Row],[Pick-Up Date]]&lt;&gt;"",_xlfn.ISOWEEKNUM(PV_DATA[[#This Row],[Pick-Up Date]]),"")</f>
        <v>34</v>
      </c>
      <c r="AD891" s="463" t="s">
        <v>6092</v>
      </c>
      <c r="AE891" s="463" t="s">
        <v>6092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715">
        <v>46310</v>
      </c>
      <c r="AM891" s="992">
        <f>IFERROR(VLOOKUP(AT891, Vessel!A:H, 8, FALSE), "")</f>
        <v>46320.375</v>
      </c>
      <c r="AN891" s="992" t="str">
        <f>IFERROR(IF(VLOOKUP(AT891,Vessel!A:I,9,FALSE)=0,"",VLOOKUP(AT891,Vessel!A:I,9,FALSE)),"")</f>
        <v/>
      </c>
      <c r="AP891" s="463" t="s">
        <v>6065</v>
      </c>
      <c r="AQ891" s="993" t="s">
        <v>80</v>
      </c>
      <c r="AR891" s="463" t="s">
        <v>6087</v>
      </c>
      <c r="AS891" s="463" t="s">
        <v>6088</v>
      </c>
      <c r="AT891" s="463" t="s">
        <v>6088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46320</v>
      </c>
      <c r="AZ891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46329.375</v>
      </c>
      <c r="BB891" s="989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6093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9" t="str">
        <f>_xlfn.XLOOKUP(PV_DATA[[#This Row],[New Ark SKU]],Table9[New Ark SKU],Table9[Cable],,0)</f>
        <v>±1350mm</v>
      </c>
      <c r="T892" s="989">
        <v>515</v>
      </c>
      <c r="U892" s="1214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12">
        <f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5848</v>
      </c>
      <c r="AB892" s="715">
        <v>46253</v>
      </c>
      <c r="AC892" s="990">
        <f>IF(PV_DATA[[#This Row],[Pick-Up Date]]&lt;&gt;"",_xlfn.ISOWEEKNUM(PV_DATA[[#This Row],[Pick-Up Date]]),"")</f>
        <v>34</v>
      </c>
      <c r="AD892" s="463" t="s">
        <v>6094</v>
      </c>
      <c r="AE892" s="463" t="s">
        <v>6094</v>
      </c>
      <c r="AF892" s="463" t="s">
        <v>122</v>
      </c>
      <c r="AG892" s="463" t="s">
        <v>123</v>
      </c>
      <c r="AH892" s="463" t="s">
        <v>124</v>
      </c>
      <c r="AI892" s="715">
        <v>46259</v>
      </c>
      <c r="AJ892" s="715">
        <v>46263</v>
      </c>
      <c r="AK892" s="715">
        <f>IFERROR(IF(VLOOKUP(AT892,Vessel!A:F,5,FALSE)=0,"",VLOOKUP(AT892,Vessel!A:F,5,FALSE)),"")</f>
        <v>46263.48333333333</v>
      </c>
      <c r="AL892" s="1272">
        <v>46310</v>
      </c>
      <c r="AM892" s="1384">
        <f>IFERROR(VLOOKUP(AT892, Vessel!A:H, 8, FALSE), "")</f>
        <v>46320.375</v>
      </c>
      <c r="AN892" s="992" t="str">
        <f>IFERROR(IF(VLOOKUP(AT892,Vessel!A:I,9,FALSE)=0,"",VLOOKUP(AT892,Vessel!A:I,9,FALSE)),"")</f>
        <v/>
      </c>
      <c r="AP892" s="463" t="s">
        <v>6065</v>
      </c>
      <c r="AQ892" s="993" t="s">
        <v>80</v>
      </c>
      <c r="AR892" s="463" t="s">
        <v>6087</v>
      </c>
      <c r="AS892" s="463" t="s">
        <v>6088</v>
      </c>
      <c r="AT892" s="463" t="s">
        <v>6088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46321</v>
      </c>
      <c r="AZ892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15">
        <f>IFERROR(PV_DATA[[#This Row],[ODP ETA Port]]+PV_DATA[[#This Row],[Customs/Leg3 Assumption]],"n/a")</f>
        <v>46329.375</v>
      </c>
      <c r="BB892" s="989">
        <f>YEAR(PV_DATA[[#This Row],[ETA for New Ark update]])</f>
        <v>2026</v>
      </c>
      <c r="BC892" s="463">
        <f>MONTH(PV_DATA[[#This Row],[ETA for New Ark update]])</f>
        <v>11</v>
      </c>
      <c r="BD892" s="463">
        <f>IFERROR(_xlfn.ISOWEEKNUM(PV_DATA[[#This Row],[ETA for New Ark update]]),0)</f>
        <v>45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6095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9" t="str">
        <f>_xlfn.XLOOKUP(PV_DATA[[#This Row],[New Ark SKU]],Table9[New Ark SKU],Table9[Cable],,0)</f>
        <v>±1350mm</v>
      </c>
      <c r="T893" s="989">
        <v>515</v>
      </c>
      <c r="U893" s="1214"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12">
        <f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5928</v>
      </c>
      <c r="AB893" s="715">
        <v>46246</v>
      </c>
      <c r="AC893" s="990">
        <f>IF(PV_DATA[[#This Row],[Pick-Up Date]]&lt;&gt;"",_xlfn.ISOWEEKNUM(PV_DATA[[#This Row],[Pick-Up Date]]),"")</f>
        <v>33</v>
      </c>
      <c r="AD893" s="463" t="s">
        <v>6096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72">
        <v>46311</v>
      </c>
      <c r="AM893" s="1382"/>
      <c r="AN893" s="992"/>
      <c r="AP893" s="463" t="s">
        <v>6097</v>
      </c>
      <c r="AQ893" s="993" t="s">
        <v>80</v>
      </c>
      <c r="AR893" s="463" t="s">
        <v>6098</v>
      </c>
      <c r="AS893" s="463" t="s">
        <v>6099</v>
      </c>
      <c r="AT893" s="463" t="s">
        <v>6099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9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463" t="s">
        <v>6100</v>
      </c>
      <c r="B894" s="463" t="s">
        <v>111</v>
      </c>
      <c r="C894" s="463" t="str">
        <f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14">
        <v>46209</v>
      </c>
      <c r="O894" s="463" t="s">
        <v>550</v>
      </c>
      <c r="P894" s="463" t="s">
        <v>2134</v>
      </c>
      <c r="Q894" s="463" t="s">
        <v>2135</v>
      </c>
      <c r="R894" s="463" t="str">
        <f>_xlfn.XLOOKUP(PV_DATA[[#This Row],[New Ark SKU]],Table9[New Ark SKU],Table9[Connector],,0)</f>
        <v>EVO2A</v>
      </c>
      <c r="S894" s="989" t="str">
        <f>_xlfn.XLOOKUP(PV_DATA[[#This Row],[New Ark SKU]],Table9[New Ark SKU],Table9[Cable],,0)</f>
        <v>±1350mm</v>
      </c>
      <c r="T894" s="989">
        <v>515</v>
      </c>
      <c r="U894" s="1214">
        <f>792*1</f>
        <v>792</v>
      </c>
      <c r="V894" s="459">
        <f>PV_DATA[[#This Row],[QUANTITY]]*PV_DATA[[#This Row],[WATT]]/1000000</f>
        <v>0.40788000000000002</v>
      </c>
      <c r="W894" s="716">
        <f>PV_DATA[[#This Row],[QUANTITY]]/PV_DATA[[#This Row],[Qty/Pallet]]</f>
        <v>22</v>
      </c>
      <c r="X894" s="1112">
        <f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5928</v>
      </c>
      <c r="AB894" s="715">
        <v>46246</v>
      </c>
      <c r="AC894" s="990">
        <f>IF(PV_DATA[[#This Row],[Pick-Up Date]]&lt;&gt;"",_xlfn.ISOWEEKNUM(PV_DATA[[#This Row],[Pick-Up Date]]),"")</f>
        <v>33</v>
      </c>
      <c r="AD894" s="463" t="s">
        <v>6101</v>
      </c>
      <c r="AF894" s="463" t="s">
        <v>122</v>
      </c>
      <c r="AG894" s="463" t="s">
        <v>123</v>
      </c>
      <c r="AH894" s="463" t="s">
        <v>1561</v>
      </c>
      <c r="AI894" s="715">
        <v>46252</v>
      </c>
      <c r="AJ894" s="715">
        <f>IFERROR(VLOOKUP(AT894, Vessel!A:D, 4, FALSE), "")</f>
        <v>46251.791666666664</v>
      </c>
      <c r="AK894" s="715">
        <f>IFERROR(IF(VLOOKUP(AT894,Vessel!A:F,5,FALSE)=0,"",VLOOKUP(AT894,Vessel!A:F,5,FALSE)),"")</f>
        <v>46251.534803240742</v>
      </c>
      <c r="AL894" s="1272">
        <v>46311</v>
      </c>
      <c r="AM894" s="1382"/>
      <c r="AN894" s="992"/>
      <c r="AP894" s="463" t="s">
        <v>6097</v>
      </c>
      <c r="AQ894" s="463" t="s">
        <v>80</v>
      </c>
      <c r="AR894" s="463" t="s">
        <v>6098</v>
      </c>
      <c r="AS894" s="463" t="s">
        <v>6099</v>
      </c>
      <c r="AT894" s="463" t="s">
        <v>6099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1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15">
        <f>IF(ISERROR(PV_DATA[[#This Row],[New Ark PO status]]),"",_xlfn.XLOOKUP(PV_DATA[[#This Row],[SPTN-PVHK New Ark PO'#]],New_Ark_Data[Purchase order Number],New_Ark_Data[Estimated time of arrival],"",0))</f>
        <v>46315</v>
      </c>
      <c r="AZ894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15">
        <f>IFERROR(PV_DATA[[#This Row],[ODP ETA Port]]+PV_DATA[[#This Row],[Customs/Leg3 Assumption]],"n/a")</f>
        <v>46321</v>
      </c>
      <c r="BB894" s="989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 hidden="1">
      <c r="A895" s="994" t="s">
        <v>6102</v>
      </c>
      <c r="B895" s="988" t="s">
        <v>1757</v>
      </c>
      <c r="C895" s="988" t="str">
        <f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8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88"/>
      <c r="L895" s="988"/>
      <c r="M895" s="463" t="s">
        <v>68</v>
      </c>
      <c r="N895" s="714">
        <v>46230</v>
      </c>
      <c r="O895" s="463" t="s">
        <v>284</v>
      </c>
      <c r="P895" s="988" t="s">
        <v>5846</v>
      </c>
      <c r="Q895" s="988" t="s">
        <v>5847</v>
      </c>
      <c r="R895" s="988" t="str">
        <f>_xlfn.XLOOKUP(PV_DATA[[#This Row],[New Ark SKU]],Table9[New Ark SKU],Table9[Connector],,0)</f>
        <v>EVO2A</v>
      </c>
      <c r="S895" s="989" t="str">
        <f>_xlfn.XLOOKUP(PV_DATA[[#This Row],[New Ark SKU]],Table9[New Ark SKU],Table9[Cable],,0)</f>
        <v>±1200mm</v>
      </c>
      <c r="T895" s="995">
        <v>485</v>
      </c>
      <c r="U895" s="1217">
        <v>4680</v>
      </c>
      <c r="V895" s="1163">
        <f>PV_DATA[[#This Row],[QUANTITY]]*PV_DATA[[#This Row],[WATT]]/1000000</f>
        <v>2.2698</v>
      </c>
      <c r="W895" s="1164">
        <f>PV_DATA[[#This Row],[QUANTITY]]/36</f>
        <v>130</v>
      </c>
      <c r="X895" s="1112">
        <f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88" t="s">
        <v>5848</v>
      </c>
      <c r="AB895" s="715">
        <v>46241</v>
      </c>
      <c r="AC895" s="1158">
        <f>IF(PV_DATA[[#This Row],[Pick-Up Date]]&lt;&gt;"",_xlfn.ISOWEEKNUM(PV_DATA[[#This Row],[Pick-Up Date]]),"")</f>
        <v>32</v>
      </c>
      <c r="AD895" s="988" t="s">
        <v>6103</v>
      </c>
      <c r="AE895" s="988"/>
      <c r="AF895" s="988" t="s">
        <v>1525</v>
      </c>
      <c r="AG895" s="988" t="s">
        <v>5992</v>
      </c>
      <c r="AH895" s="463" t="s">
        <v>105</v>
      </c>
      <c r="AI895" s="715">
        <v>46248</v>
      </c>
      <c r="AJ895" s="715">
        <v>46252</v>
      </c>
      <c r="AK895" s="715">
        <f>IFERROR(IF(VLOOKUP(AT895,Vessel!A:F,5,FALSE)=0,"",VLOOKUP(AT895,Vessel!A:F,5,FALSE)),"")</f>
        <v>46257.848101851851</v>
      </c>
      <c r="AL895" s="720">
        <v>46281</v>
      </c>
      <c r="AM895" s="992">
        <f>IFERROR(VLOOKUP(AT895, Vessel!A:H, 8, FALSE), "")</f>
        <v>46289.625</v>
      </c>
      <c r="AN895" s="992" t="str">
        <f>IFERROR(IF(VLOOKUP(AT895,Vessel!A:I,9,FALSE)=0,"",VLOOKUP(AT895,Vessel!A:I,9,FALSE)),"")</f>
        <v/>
      </c>
      <c r="AO895" s="988"/>
      <c r="AP895" s="463" t="s">
        <v>6104</v>
      </c>
      <c r="AQ895" s="463" t="s">
        <v>80</v>
      </c>
      <c r="AR895" s="463" t="s">
        <v>6105</v>
      </c>
      <c r="AS895" s="463" t="s">
        <v>6106</v>
      </c>
      <c r="AT895" s="988" t="s">
        <v>6106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31.776898148149485</v>
      </c>
      <c r="AV895" s="988"/>
      <c r="AW895" s="101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5">
        <f>IF(ISERROR(PV_DATA[[#This Row],[New Ark PO status]]),"",_xlfn.XLOOKUP(PV_DATA[[#This Row],[SPTN-PVHK New Ark PO'#]],New_Ark_Data[Purchase order Number],New_Ark_Data[Estimated time of arrival],"",0))</f>
        <v>46303</v>
      </c>
      <c r="AZ895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5">
        <f>IFERROR(PV_DATA[[#This Row],[ODP ETA Port]]+PV_DATA[[#This Row],[Customs/Leg3 Assumption]],"n/a")</f>
        <v>46296.625</v>
      </c>
      <c r="BB895" s="995">
        <f>YEAR(PV_DATA[[#This Row],[ETA for New Ark update]])</f>
        <v>2026</v>
      </c>
      <c r="BC895" s="988">
        <f>MONTH(PV_DATA[[#This Row],[ETA for New Ark update]])</f>
        <v>10</v>
      </c>
      <c r="BD895" s="988">
        <f>IFERROR(_xlfn.ISOWEEKNUM(PV_DATA[[#This Row],[ETA for New Ark update]]),0)</f>
        <v>40</v>
      </c>
      <c r="BE895" s="988">
        <f>_xlfn.XLOOKUP(PV_DATA[[#This Row],[New Ark SKU]],Table9[New Ark SKU],Table9[Total PCS per Pallet],,0)</f>
        <v>36</v>
      </c>
      <c r="BF895" s="988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159" t="str">
        <f>_xlfn.XLOOKUP(PV_DATA[[#This Row],[PORT DESTINATION]],Table12[PORT DESTINATION],Table12[Cosco Line],,0)</f>
        <v>AEU</v>
      </c>
    </row>
    <row r="896" spans="1:62" s="432" customFormat="1" ht="10.5" hidden="1">
      <c r="A896" s="432" t="s">
        <v>6107</v>
      </c>
      <c r="B896" s="432" t="s">
        <v>5769</v>
      </c>
      <c r="C896" s="432" t="str">
        <f>IFERROR(LEFT(PV_DATA[[#This Row],[TCL REFERENCE]],FIND(".",PV_DATA[[#This Row],[TCL REFERENCE]],1)-1),"Main Line")</f>
        <v>26Jul005</v>
      </c>
      <c r="D896" s="432" t="s">
        <v>63</v>
      </c>
      <c r="E896" s="432" t="s">
        <v>64</v>
      </c>
      <c r="F896" s="43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2" t="s">
        <v>402</v>
      </c>
      <c r="H896" s="432" t="s">
        <v>67</v>
      </c>
      <c r="I896" s="432" t="s">
        <v>689</v>
      </c>
      <c r="J896" s="432" t="s">
        <v>96</v>
      </c>
      <c r="M896" s="432" t="s">
        <v>68</v>
      </c>
      <c r="N896" s="462">
        <v>46223</v>
      </c>
      <c r="O896" s="432" t="s">
        <v>4526</v>
      </c>
      <c r="P896" s="432" t="s">
        <v>195</v>
      </c>
      <c r="Q896" s="432" t="s">
        <v>196</v>
      </c>
      <c r="R896" s="432" t="str">
        <f>_xlfn.XLOOKUP(PV_DATA[[#This Row],[New Ark SKU]],Table9[New Ark SKU],Table9[Connector],,0)</f>
        <v>EVO2A</v>
      </c>
      <c r="S896" s="443" t="str">
        <f>_xlfn.XLOOKUP(PV_DATA[[#This Row],[New Ark SKU]],Table9[New Ark SKU],Table9[Cable],,0)</f>
        <v>±1200mm</v>
      </c>
      <c r="T896" s="443">
        <v>450</v>
      </c>
      <c r="U896" s="1212">
        <f>936*4</f>
        <v>3744</v>
      </c>
      <c r="V896" s="449">
        <f>PV_DATA[[#This Row],[QUANTITY]]*PV_DATA[[#This Row],[WATT]]/1000000</f>
        <v>1.6848000000000001</v>
      </c>
      <c r="W896" s="467">
        <f>PV_DATA[[#This Row],[QUANTITY]]/PV_DATA[[#This Row],[Qty/Pallet]]</f>
        <v>104</v>
      </c>
      <c r="X896" s="1114">
        <f>PV_DATA[[#This Row],[QUANTITY]]/PV_DATA[[#This Row],[Qty/CT]]</f>
        <v>4</v>
      </c>
      <c r="Y896" s="432" t="s">
        <v>2463</v>
      </c>
      <c r="Z896" s="432" t="str">
        <f t="shared" si="12"/>
        <v>IN-TRANSIT</v>
      </c>
      <c r="AA896" s="432" t="s">
        <v>6108</v>
      </c>
      <c r="AB896" s="442">
        <v>46244</v>
      </c>
      <c r="AC896" s="468">
        <f>IF(PV_DATA[[#This Row],[Pick-Up Date]]&lt;&gt;"",_xlfn.ISOWEEKNUM(PV_DATA[[#This Row],[Pick-Up Date]]),"")</f>
        <v>33</v>
      </c>
      <c r="AD896" s="432" t="s">
        <v>6109</v>
      </c>
      <c r="AF896" s="432" t="s">
        <v>6110</v>
      </c>
      <c r="AG896" s="432" t="s">
        <v>123</v>
      </c>
      <c r="AH896" s="432" t="s">
        <v>105</v>
      </c>
      <c r="AI896" s="442">
        <v>46249</v>
      </c>
      <c r="AJ896" s="442">
        <v>46256</v>
      </c>
      <c r="AK896" s="442">
        <v>46256</v>
      </c>
      <c r="AL896" s="442">
        <v>46292</v>
      </c>
      <c r="AM896" s="442"/>
      <c r="AN896" s="588"/>
      <c r="AP896" s="432" t="s">
        <v>6111</v>
      </c>
      <c r="AQ896" s="446" t="s">
        <v>161</v>
      </c>
      <c r="AR896" s="432" t="s">
        <v>6112</v>
      </c>
      <c r="AS896" s="432" t="s">
        <v>6113</v>
      </c>
      <c r="AT896" s="432" t="s">
        <v>6113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442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442">
        <f>IF(ISERROR(PV_DATA[[#This Row],[New Ark PO status]]),"",_xlfn.XLOOKUP(PV_DATA[[#This Row],[SPTN-PVHK New Ark PO'#]],New_Ark_Data[Purchase order Number],New_Ark_Data[Estimated time of arrival],"",0))</f>
        <v>46309</v>
      </c>
      <c r="AZ8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442">
        <f>IFERROR(PV_DATA[[#This Row],[ODP ETA Port]]+PV_DATA[[#This Row],[Customs/Leg3 Assumption]],"n/a")</f>
        <v>46299</v>
      </c>
      <c r="BB896" s="443">
        <f>YEAR(PV_DATA[[#This Row],[ETA for New Ark update]])</f>
        <v>2026</v>
      </c>
      <c r="BC896" s="432">
        <f>MONTH(PV_DATA[[#This Row],[ETA for New Ark update]])</f>
        <v>10</v>
      </c>
      <c r="BD896" s="432">
        <f>IFERROR(_xlfn.ISOWEEKNUM(PV_DATA[[#This Row],[ETA for New Ark update]]),0)</f>
        <v>40</v>
      </c>
      <c r="BE896" s="432">
        <f>_xlfn.XLOOKUP(PV_DATA[[#This Row],[New Ark SKU]],Table9[New Ark SKU],Table9[Total PCS per Pallet],,0)</f>
        <v>36</v>
      </c>
      <c r="BF896" s="432">
        <f>_xlfn.XLOOKUP(PV_DATA[[#This Row],[New Ark SKU]],Table9[New Ark SKU],Table9[Total PCS per 40HQ Container],,0)</f>
        <v>936</v>
      </c>
      <c r="BG896" s="432" t="str">
        <f>_xlfn.XLOOKUP(PV_DATA[[#This Row],[New Ark SKU]],Table9[New Ark SKU],Table9[Back Glass],,0)</f>
        <v>Black glazing</v>
      </c>
      <c r="BH896" s="432" t="str">
        <f>_xlfn.XLOOKUP(PV_DATA[[#This Row],[PORT DESTINATION]],Table12[PORT DESTINATION],Table12[Cosco Line],,0)</f>
        <v>AEU</v>
      </c>
    </row>
    <row r="897" spans="1:62" s="440" customFormat="1" ht="10.5" hidden="1">
      <c r="A897" s="440" t="s">
        <v>6114</v>
      </c>
      <c r="B897" s="440" t="s">
        <v>5769</v>
      </c>
      <c r="C897" s="440" t="str">
        <f>IFERROR(LEFT(PV_DATA[[#This Row],[TCL REFERENCE]],FIND(".",PV_DATA[[#This Row],[TCL REFERENCE]],1)-1),"Main Line")</f>
        <v>26Jul005</v>
      </c>
      <c r="D897" s="440" t="s">
        <v>63</v>
      </c>
      <c r="E897" s="440" t="s">
        <v>64</v>
      </c>
      <c r="F897" s="440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40" t="s">
        <v>402</v>
      </c>
      <c r="H897" s="440" t="s">
        <v>67</v>
      </c>
      <c r="I897" s="440" t="s">
        <v>689</v>
      </c>
      <c r="J897" s="440" t="s">
        <v>96</v>
      </c>
      <c r="M897" s="440" t="s">
        <v>68</v>
      </c>
      <c r="N897" s="717">
        <v>46223</v>
      </c>
      <c r="O897" s="440" t="s">
        <v>4526</v>
      </c>
      <c r="P897" s="440" t="s">
        <v>195</v>
      </c>
      <c r="Q897" s="440" t="s">
        <v>196</v>
      </c>
      <c r="R897" s="440" t="str">
        <f>_xlfn.XLOOKUP(PV_DATA[[#This Row],[New Ark SKU]],Table9[New Ark SKU],Table9[Connector],,0)</f>
        <v>EVO2A</v>
      </c>
      <c r="S897" s="724" t="str">
        <f>_xlfn.XLOOKUP(PV_DATA[[#This Row],[New Ark SKU]],Table9[New Ark SKU],Table9[Cable],,0)</f>
        <v>±1200mm</v>
      </c>
      <c r="T897" s="724">
        <v>450</v>
      </c>
      <c r="U897" s="1350">
        <v>3744</v>
      </c>
      <c r="V897" s="1405">
        <f>PV_DATA[[#This Row],[QUANTITY]]*PV_DATA[[#This Row],[WATT]]/1000000</f>
        <v>1.6848000000000001</v>
      </c>
      <c r="W897" s="1352">
        <f>PV_DATA[[#This Row],[QUANTITY]]/PV_DATA[[#This Row],[Qty/Pallet]]</f>
        <v>104</v>
      </c>
      <c r="X897" s="1361">
        <f>PV_DATA[[#This Row],[QUANTITY]]/PV_DATA[[#This Row],[Qty/CT]]</f>
        <v>4</v>
      </c>
      <c r="Y897" s="440" t="s">
        <v>2463</v>
      </c>
      <c r="Z897" s="440" t="str">
        <f t="shared" si="12"/>
        <v>IN-TRANSIT</v>
      </c>
      <c r="AA897" s="440" t="s">
        <v>6115</v>
      </c>
      <c r="AB897" s="721">
        <v>46243</v>
      </c>
      <c r="AC897" s="1362">
        <f>IF(PV_DATA[[#This Row],[Pick-Up Date]]&lt;&gt;"",_xlfn.ISOWEEKNUM(PV_DATA[[#This Row],[Pick-Up Date]]),"")</f>
        <v>32</v>
      </c>
      <c r="AD897" s="440" t="s">
        <v>6116</v>
      </c>
      <c r="AF897" s="440" t="s">
        <v>6110</v>
      </c>
      <c r="AG897" s="440" t="s">
        <v>123</v>
      </c>
      <c r="AH897" s="440" t="s">
        <v>105</v>
      </c>
      <c r="AI897" s="721">
        <v>46249</v>
      </c>
      <c r="AJ897" s="721">
        <v>46256</v>
      </c>
      <c r="AK897" s="721">
        <v>46256</v>
      </c>
      <c r="AL897" s="721">
        <v>46292</v>
      </c>
      <c r="AM897" s="721"/>
      <c r="AN897" s="1355"/>
      <c r="AP897" s="440" t="s">
        <v>6111</v>
      </c>
      <c r="AQ897" s="1406" t="s">
        <v>161</v>
      </c>
      <c r="AR897" s="440" t="s">
        <v>6112</v>
      </c>
      <c r="AS897" s="440" t="s">
        <v>6113</v>
      </c>
      <c r="AT897" s="440" t="s">
        <v>6113</v>
      </c>
      <c r="AU8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1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1">
        <f>IF(ISERROR(PV_DATA[[#This Row],[New Ark PO status]]),"",_xlfn.XLOOKUP(PV_DATA[[#This Row],[SPTN-PVHK New Ark PO'#]],New_Ark_Data[Purchase order Number],New_Ark_Data[Estimated time of arrival],"",0))</f>
        <v>46309</v>
      </c>
      <c r="AZ89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1">
        <f>IFERROR(PV_DATA[[#This Row],[ODP ETA Port]]+PV_DATA[[#This Row],[Customs/Leg3 Assumption]],"n/a")</f>
        <v>46299</v>
      </c>
      <c r="BB897" s="724">
        <f>YEAR(PV_DATA[[#This Row],[ETA for New Ark update]])</f>
        <v>2026</v>
      </c>
      <c r="BC897" s="440">
        <f>MONTH(PV_DATA[[#This Row],[ETA for New Ark update]])</f>
        <v>10</v>
      </c>
      <c r="BD897" s="440">
        <f>IFERROR(_xlfn.ISOWEEKNUM(PV_DATA[[#This Row],[ETA for New Ark update]]),0)</f>
        <v>40</v>
      </c>
      <c r="BE897" s="440">
        <f>_xlfn.XLOOKUP(PV_DATA[[#This Row],[New Ark SKU]],Table9[New Ark SKU],Table9[Total PCS per Pallet],,0)</f>
        <v>36</v>
      </c>
      <c r="BF897" s="440">
        <f>_xlfn.XLOOKUP(PV_DATA[[#This Row],[New Ark SKU]],Table9[New Ark SKU],Table9[Total PCS per 40HQ Container],,0)</f>
        <v>936</v>
      </c>
      <c r="BG897" s="440" t="str">
        <f>_xlfn.XLOOKUP(PV_DATA[[#This Row],[New Ark SKU]],Table9[New Ark SKU],Table9[Back Glass],,0)</f>
        <v>Black glazing</v>
      </c>
      <c r="BH897" s="440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6117</v>
      </c>
      <c r="B898" s="463" t="s">
        <v>5769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4526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9" t="str">
        <f>_xlfn.XLOOKUP(PV_DATA[[#This Row],[New Ark SKU]],Table9[New Ark SKU],Table9[Cable],,0)</f>
        <v>±1200mm</v>
      </c>
      <c r="T898" s="989">
        <v>450</v>
      </c>
      <c r="U898" s="1214">
        <v>936</v>
      </c>
      <c r="V898" s="459">
        <f>PV_DATA[[#This Row],[QUANTITY]]*PV_DATA[[#This Row],[WATT]]/1000000</f>
        <v>0.42120000000000002</v>
      </c>
      <c r="W898" s="716">
        <f>PV_DATA[[#This Row],[QUANTITY]]/PV_DATA[[#This Row],[Qty/Pallet]]</f>
        <v>26</v>
      </c>
      <c r="X898" s="1112">
        <f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6115</v>
      </c>
      <c r="AB898" s="715">
        <v>46243</v>
      </c>
      <c r="AC898" s="990">
        <f>IF(PV_DATA[[#This Row],[Pick-Up Date]]&lt;&gt;"",_xlfn.ISOWEEKNUM(PV_DATA[[#This Row],[Pick-Up Date]]),"")</f>
        <v>32</v>
      </c>
      <c r="AD898" s="463" t="s">
        <v>6118</v>
      </c>
      <c r="AF898" s="463" t="s">
        <v>6110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2"/>
      <c r="AP898" s="463" t="s">
        <v>6111</v>
      </c>
      <c r="AQ898" s="993" t="s">
        <v>161</v>
      </c>
      <c r="AR898" s="463" t="s">
        <v>6112</v>
      </c>
      <c r="AS898" s="463" t="s">
        <v>6113</v>
      </c>
      <c r="AT898" s="463" t="s">
        <v>6113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9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6119</v>
      </c>
      <c r="B899" s="463" t="s">
        <v>5769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4526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9" t="str">
        <f>_xlfn.XLOOKUP(PV_DATA[[#This Row],[New Ark SKU]],Table9[New Ark SKU],Table9[Cable],,0)</f>
        <v>±1200mm</v>
      </c>
      <c r="T899" s="989">
        <v>450</v>
      </c>
      <c r="U899" s="1214">
        <v>1872</v>
      </c>
      <c r="V899" s="459">
        <f>PV_DATA[[#This Row],[QUANTITY]]*PV_DATA[[#This Row],[WATT]]/1000000</f>
        <v>0.84240000000000004</v>
      </c>
      <c r="W899" s="716">
        <f>PV_DATA[[#This Row],[QUANTITY]]/PV_DATA[[#This Row],[Qty/Pallet]]</f>
        <v>52</v>
      </c>
      <c r="X899" s="1112">
        <f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6020</v>
      </c>
      <c r="AB899" s="715">
        <v>46243</v>
      </c>
      <c r="AC899" s="990">
        <f>IF(PV_DATA[[#This Row],[Pick-Up Date]]&lt;&gt;"",_xlfn.ISOWEEKNUM(PV_DATA[[#This Row],[Pick-Up Date]]),"")</f>
        <v>32</v>
      </c>
      <c r="AD899" s="463" t="s">
        <v>6120</v>
      </c>
      <c r="AF899" s="463" t="s">
        <v>6110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2"/>
      <c r="AP899" s="463" t="s">
        <v>6111</v>
      </c>
      <c r="AQ899" s="993" t="s">
        <v>161</v>
      </c>
      <c r="AR899" s="463" t="s">
        <v>6121</v>
      </c>
      <c r="AS899" s="463" t="s">
        <v>6122</v>
      </c>
      <c r="AT899" s="463" t="s">
        <v>6122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9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6123</v>
      </c>
      <c r="B900" s="463" t="s">
        <v>5769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4526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9" t="str">
        <f>_xlfn.XLOOKUP(PV_DATA[[#This Row],[New Ark SKU]],Table9[New Ark SKU],Table9[Cable],,0)</f>
        <v>±1200mm</v>
      </c>
      <c r="T900" s="989">
        <v>450</v>
      </c>
      <c r="U900" s="1214">
        <v>2808</v>
      </c>
      <c r="V900" s="459">
        <f>PV_DATA[[#This Row],[QUANTITY]]*PV_DATA[[#This Row],[WATT]]/1000000</f>
        <v>1.2636000000000001</v>
      </c>
      <c r="W900" s="716">
        <f>PV_DATA[[#This Row],[QUANTITY]]/PV_DATA[[#This Row],[Qty/Pallet]]</f>
        <v>78</v>
      </c>
      <c r="X900" s="1112">
        <f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6020</v>
      </c>
      <c r="AB900" s="715">
        <v>46243</v>
      </c>
      <c r="AC900" s="990">
        <f>IF(PV_DATA[[#This Row],[Pick-Up Date]]&lt;&gt;"",_xlfn.ISOWEEKNUM(PV_DATA[[#This Row],[Pick-Up Date]]),"")</f>
        <v>32</v>
      </c>
      <c r="AD900" s="463" t="s">
        <v>6124</v>
      </c>
      <c r="AF900" s="463" t="s">
        <v>6110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2"/>
      <c r="AP900" s="463" t="s">
        <v>6111</v>
      </c>
      <c r="AQ900" s="993" t="s">
        <v>161</v>
      </c>
      <c r="AR900" s="463" t="s">
        <v>6121</v>
      </c>
      <c r="AS900" s="463" t="s">
        <v>6122</v>
      </c>
      <c r="AT900" s="463" t="s">
        <v>6122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9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6125</v>
      </c>
      <c r="B901" s="463" t="s">
        <v>5769</v>
      </c>
      <c r="C901" s="463" t="str">
        <f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46223</v>
      </c>
      <c r="O901" s="463" t="s">
        <v>4526</v>
      </c>
      <c r="P901" s="463" t="s">
        <v>195</v>
      </c>
      <c r="Q901" s="463" t="s">
        <v>196</v>
      </c>
      <c r="R901" s="463" t="str">
        <f>_xlfn.XLOOKUP(PV_DATA[[#This Row],[New Ark SKU]],Table9[New Ark SKU],Table9[Connector],,0)</f>
        <v>EVO2A</v>
      </c>
      <c r="S901" s="989" t="str">
        <f>_xlfn.XLOOKUP(PV_DATA[[#This Row],[New Ark SKU]],Table9[New Ark SKU],Table9[Cable],,0)</f>
        <v>±1200mm</v>
      </c>
      <c r="T901" s="989">
        <v>450</v>
      </c>
      <c r="U901" s="1214">
        <f>936*5</f>
        <v>4680</v>
      </c>
      <c r="V901" s="459">
        <f>PV_DATA[[#This Row],[QUANTITY]]*PV_DATA[[#This Row],[WATT]]/1000000</f>
        <v>2.1059999999999999</v>
      </c>
      <c r="W901" s="716">
        <f>PV_DATA[[#This Row],[QUANTITY]]/PV_DATA[[#This Row],[Qty/Pallet]]</f>
        <v>130</v>
      </c>
      <c r="X901" s="1112">
        <f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6126</v>
      </c>
      <c r="AB901" s="715">
        <v>46243</v>
      </c>
      <c r="AC901" s="990">
        <f>IF(PV_DATA[[#This Row],[Pick-Up Date]]&lt;&gt;"",_xlfn.ISOWEEKNUM(PV_DATA[[#This Row],[Pick-Up Date]]),"")</f>
        <v>32</v>
      </c>
      <c r="AD901" s="463" t="s">
        <v>6127</v>
      </c>
      <c r="AF901" s="463" t="s">
        <v>6110</v>
      </c>
      <c r="AG901" s="463" t="s">
        <v>123</v>
      </c>
      <c r="AH901" s="463" t="s">
        <v>105</v>
      </c>
      <c r="AI901" s="715">
        <v>46249</v>
      </c>
      <c r="AJ901" s="715">
        <v>46256</v>
      </c>
      <c r="AK901" s="715">
        <v>46256</v>
      </c>
      <c r="AL901" s="715">
        <v>46292</v>
      </c>
      <c r="AM901" s="715"/>
      <c r="AN901" s="992"/>
      <c r="AP901" s="463" t="s">
        <v>6111</v>
      </c>
      <c r="AQ901" s="993" t="s">
        <v>161</v>
      </c>
      <c r="AR901" s="463" t="s">
        <v>6121</v>
      </c>
      <c r="AS901" s="463" t="s">
        <v>6122</v>
      </c>
      <c r="AT901" s="463" t="s">
        <v>6122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46309</v>
      </c>
      <c r="AZ90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15">
        <f>IFERROR(PV_DATA[[#This Row],[ODP ETA Port]]+PV_DATA[[#This Row],[Customs/Leg3 Assumption]],"n/a")</f>
        <v>46299</v>
      </c>
      <c r="BB901" s="989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 hidden="1">
      <c r="A902" s="463" t="s">
        <v>6128</v>
      </c>
      <c r="B902" s="463" t="s">
        <v>1757</v>
      </c>
      <c r="C902" s="463" t="str">
        <f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14">
        <v>46195</v>
      </c>
      <c r="O902" s="463" t="s">
        <v>4526</v>
      </c>
      <c r="P902" s="463" t="s">
        <v>71</v>
      </c>
      <c r="Q902" s="463" t="s">
        <v>72</v>
      </c>
      <c r="R902" s="463" t="str">
        <f>_xlfn.XLOOKUP(PV_DATA[[#This Row],[New Ark SKU]],Table9[New Ark SKU],Table9[Connector],,0)</f>
        <v>EVO2A</v>
      </c>
      <c r="S902" s="989" t="str">
        <f>_xlfn.XLOOKUP(PV_DATA[[#This Row],[New Ark SKU]],Table9[New Ark SKU],Table9[Cable],,0)</f>
        <v>±1200mm</v>
      </c>
      <c r="T902" s="989">
        <v>500</v>
      </c>
      <c r="U902" s="1214">
        <v>864</v>
      </c>
      <c r="V902" s="459">
        <f>PV_DATA[[#This Row],[QUANTITY]]*PV_DATA[[#This Row],[WATT]]/1000000</f>
        <v>0.432</v>
      </c>
      <c r="W902" s="716">
        <f>PV_DATA[[#This Row],[QUANTITY]]/PV_DATA[[#This Row],[Qty/Pallet]]</f>
        <v>24</v>
      </c>
      <c r="X902" s="1112">
        <f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5625</v>
      </c>
      <c r="AB902" s="715">
        <v>46241</v>
      </c>
      <c r="AC902" s="990">
        <f>IF(PV_DATA[[#This Row],[Pick-Up Date]]&lt;&gt;"",_xlfn.ISOWEEKNUM(PV_DATA[[#This Row],[Pick-Up Date]]),"")</f>
        <v>32</v>
      </c>
      <c r="AD902" s="463" t="s">
        <v>6129</v>
      </c>
      <c r="AF902" s="463" t="s">
        <v>1525</v>
      </c>
      <c r="AG902" s="463" t="s">
        <v>1525</v>
      </c>
      <c r="AH902" s="463" t="s">
        <v>78</v>
      </c>
      <c r="AI902" s="715">
        <v>46249</v>
      </c>
      <c r="AJ902" s="715" t="str">
        <f>IFERROR(IF(VLOOKUP(AS902,Vessel!#REF!,5,FALSE)=0,"",VLOOKUP(AS902,Vessel!#REF!,5,FALSE)),"")</f>
        <v/>
      </c>
      <c r="AK902" s="715">
        <f>IFERROR(IF(VLOOKUP(AT902,Vessel!A:F,5,FALSE)=0,"",VLOOKUP(AT902,Vessel!A:F,5,FALSE)),"")</f>
        <v>46255.885057870371</v>
      </c>
      <c r="AL902" s="715">
        <v>46300</v>
      </c>
      <c r="AM902" s="992">
        <f>IFERROR(VLOOKUP(AT902, Vessel!A:H, 8, FALSE), "")</f>
        <v>46313.791666666664</v>
      </c>
      <c r="AN902" s="992" t="str">
        <f>IFERROR(IF(VLOOKUP(AT902,Vessel!A:I,9,FALSE)=0,"",VLOOKUP(AT902,Vessel!A:I,9,FALSE)),"")</f>
        <v/>
      </c>
      <c r="AP902" s="463" t="s">
        <v>6130</v>
      </c>
      <c r="AQ902" s="463" t="s">
        <v>80</v>
      </c>
      <c r="AR902" s="463" t="s">
        <v>6131</v>
      </c>
      <c r="AS902" s="463" t="s">
        <v>6132</v>
      </c>
      <c r="AT902" s="463" t="s">
        <v>6132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902" s="715"/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9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46314</v>
      </c>
      <c r="AZ90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15">
        <f>IFERROR(PV_DATA[[#This Row],[ODP ETA Port]]+PV_DATA[[#This Row],[Customs/Leg3 Assumption]],"n/a")</f>
        <v>46321.791666666664</v>
      </c>
      <c r="BB902" s="989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44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991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6133</v>
      </c>
      <c r="B903" s="463" t="s">
        <v>111</v>
      </c>
      <c r="C903" s="463" t="str">
        <f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14">
        <v>46209</v>
      </c>
      <c r="O903" s="463" t="s">
        <v>550</v>
      </c>
      <c r="P903" s="463" t="s">
        <v>2134</v>
      </c>
      <c r="Q903" s="463" t="s">
        <v>2135</v>
      </c>
      <c r="R903" s="463" t="str">
        <f>_xlfn.XLOOKUP(PV_DATA[[#This Row],[New Ark SKU]],Table9[New Ark SKU],Table9[Connector],,0)</f>
        <v>EVO2A</v>
      </c>
      <c r="S903" s="989" t="str">
        <f>_xlfn.XLOOKUP(PV_DATA[[#This Row],[New Ark SKU]],Table9[New Ark SKU],Table9[Cable],,0)</f>
        <v>±1350mm</v>
      </c>
      <c r="T903" s="989">
        <v>515</v>
      </c>
      <c r="U903" s="1214">
        <v>792</v>
      </c>
      <c r="V903" s="459">
        <f>PV_DATA[[#This Row],[QUANTITY]]*PV_DATA[[#This Row],[WATT]]/1000000</f>
        <v>0.40788000000000002</v>
      </c>
      <c r="W903" s="716">
        <f>PV_DATA[[#This Row],[QUANTITY]]/PV_DATA[[#This Row],[Qty/Pallet]]</f>
        <v>22</v>
      </c>
      <c r="X903" s="1112">
        <f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5928</v>
      </c>
      <c r="AB903" s="715">
        <v>46252</v>
      </c>
      <c r="AC903" s="990">
        <f>IF(PV_DATA[[#This Row],[Pick-Up Date]]&lt;&gt;"",_xlfn.ISOWEEKNUM(PV_DATA[[#This Row],[Pick-Up Date]]),"")</f>
        <v>34</v>
      </c>
      <c r="AD903" s="463" t="s">
        <v>6134</v>
      </c>
      <c r="AE903" s="463" t="s">
        <v>6134</v>
      </c>
      <c r="AF903" s="463" t="s">
        <v>1525</v>
      </c>
      <c r="AG903" s="463" t="s">
        <v>5992</v>
      </c>
      <c r="AH903" s="463" t="s">
        <v>1561</v>
      </c>
      <c r="AI903" s="715">
        <v>46247</v>
      </c>
      <c r="AJ903" s="715">
        <f>IFERROR(VLOOKUP(AT903, Vessel!A:D, 4, FALSE), "")</f>
        <v>46257.291666666664</v>
      </c>
      <c r="AK903" s="715">
        <f>IFERROR(IF(VLOOKUP(AT903,Vessel!A:F,5,FALSE)=0,"",VLOOKUP(AT903,Vessel!A:F,5,FALSE)),"")</f>
        <v>46257.156030092592</v>
      </c>
      <c r="AL903" s="1108">
        <v>46303</v>
      </c>
      <c r="AM903" s="1382"/>
      <c r="AN903" s="992"/>
      <c r="AP903" s="463" t="s">
        <v>5930</v>
      </c>
      <c r="AQ903" s="463" t="s">
        <v>80</v>
      </c>
      <c r="AR903" s="463" t="s">
        <v>6135</v>
      </c>
      <c r="AS903" s="463" t="s">
        <v>6136</v>
      </c>
      <c r="AT903" s="463" t="s">
        <v>6136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46310</v>
      </c>
      <c r="AZ90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15">
        <f>IFERROR(PV_DATA[[#This Row],[ODP ETA Port]]+PV_DATA[[#This Row],[Customs/Leg3 Assumption]],"n/a")</f>
        <v>46313</v>
      </c>
      <c r="BB903" s="989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 hidden="1">
      <c r="A904" s="463" t="s">
        <v>6137</v>
      </c>
      <c r="B904" s="463" t="s">
        <v>61</v>
      </c>
      <c r="C904" s="463" t="str">
        <f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46188</v>
      </c>
      <c r="O904" s="463" t="s">
        <v>4526</v>
      </c>
      <c r="P904" s="463" t="s">
        <v>1002</v>
      </c>
      <c r="Q904" s="463" t="s">
        <v>330</v>
      </c>
      <c r="R904" s="463" t="str">
        <f>_xlfn.XLOOKUP(PV_DATA[[#This Row],[New Ark SKU]],Table9[New Ark SKU],Table9[Connector],,0)</f>
        <v>EVO2A</v>
      </c>
      <c r="S904" s="989" t="str">
        <f>_xlfn.XLOOKUP(PV_DATA[[#This Row],[New Ark SKU]],Table9[New Ark SKU],Table9[Cable],,0)</f>
        <v>±1400mm</v>
      </c>
      <c r="T904" s="989">
        <v>625</v>
      </c>
      <c r="U904" s="1214">
        <f>720*5</f>
        <v>3600</v>
      </c>
      <c r="V904" s="459">
        <f>PV_DATA[[#This Row],[QUANTITY]]*PV_DATA[[#This Row],[WATT]]/1000000</f>
        <v>2.25</v>
      </c>
      <c r="W904" s="716">
        <f>PV_DATA[[#This Row],[QUANTITY]]/PV_DATA[[#This Row],[Qty/Pallet]]</f>
        <v>100</v>
      </c>
      <c r="X904" s="1112">
        <f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15">
        <v>46246</v>
      </c>
      <c r="AC904" s="990">
        <f>IF(PV_DATA[[#This Row],[Pick-Up Date]]&lt;&gt;"",_xlfn.ISOWEEKNUM(PV_DATA[[#This Row],[Pick-Up Date]]),"")</f>
        <v>33</v>
      </c>
      <c r="AD904" s="463" t="s">
        <v>6138</v>
      </c>
      <c r="AF904" s="463" t="s">
        <v>61</v>
      </c>
      <c r="AG904" s="463" t="s">
        <v>61</v>
      </c>
      <c r="AH904" s="463" t="s">
        <v>105</v>
      </c>
      <c r="AI904" s="715">
        <v>46253</v>
      </c>
      <c r="AJ904" s="715">
        <v>46257</v>
      </c>
      <c r="AK904" s="715">
        <v>46257</v>
      </c>
      <c r="AL904" s="715">
        <v>46314</v>
      </c>
      <c r="AM904" s="992"/>
      <c r="AN904" s="992"/>
      <c r="AP904" s="463" t="s">
        <v>6139</v>
      </c>
      <c r="AQ904" s="463" t="s">
        <v>161</v>
      </c>
      <c r="AR904" s="463" t="s">
        <v>6140</v>
      </c>
      <c r="AT904" s="463" t="s">
        <v>6141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46321</v>
      </c>
      <c r="AZ90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46321</v>
      </c>
      <c r="BB904" s="989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6142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4526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9" t="str">
        <f>_xlfn.XLOOKUP(PV_DATA[[#This Row],[New Ark SKU]],Table9[New Ark SKU],Table9[Cable],,0)</f>
        <v>±1200mm</v>
      </c>
      <c r="T905" s="989">
        <v>450</v>
      </c>
      <c r="U905" s="1214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12">
        <f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5045</v>
      </c>
      <c r="AB905" s="715">
        <v>46241</v>
      </c>
      <c r="AC905" s="990">
        <f>IF(PV_DATA[[#This Row],[Pick-Up Date]]&lt;&gt;"",_xlfn.ISOWEEKNUM(PV_DATA[[#This Row],[Pick-Up Date]]),"")</f>
        <v>32</v>
      </c>
      <c r="AD905" s="463" t="s">
        <v>6143</v>
      </c>
      <c r="AF905" s="463" t="s">
        <v>61</v>
      </c>
      <c r="AG905" s="463" t="s">
        <v>61</v>
      </c>
      <c r="AH905" s="463" t="s">
        <v>105</v>
      </c>
      <c r="AI905" s="715">
        <v>46246</v>
      </c>
      <c r="AJ905" s="715">
        <v>46252</v>
      </c>
      <c r="AK905" s="715">
        <v>46252</v>
      </c>
      <c r="AL905" s="715">
        <v>46307</v>
      </c>
      <c r="AM905" s="992"/>
      <c r="AN905" s="992"/>
      <c r="AP905" s="463" t="s">
        <v>6144</v>
      </c>
      <c r="AQ905" s="463" t="s">
        <v>161</v>
      </c>
      <c r="AR905" s="463" t="s">
        <v>6145</v>
      </c>
      <c r="AT905" s="463" t="s">
        <v>6146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46311</v>
      </c>
      <c r="AZ90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46314</v>
      </c>
      <c r="BB905" s="989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 hidden="1">
      <c r="A906" s="463" t="s">
        <v>6147</v>
      </c>
      <c r="B906" s="463" t="s">
        <v>61</v>
      </c>
      <c r="C906" s="463" t="str">
        <f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14">
        <v>45809</v>
      </c>
      <c r="O906" s="463" t="s">
        <v>4526</v>
      </c>
      <c r="P906" s="463" t="s">
        <v>195</v>
      </c>
      <c r="Q906" s="463" t="s">
        <v>196</v>
      </c>
      <c r="R906" s="463" t="str">
        <f>_xlfn.XLOOKUP(PV_DATA[[#This Row],[New Ark SKU]],Table9[New Ark SKU],Table9[Connector],,0)</f>
        <v>EVO2A</v>
      </c>
      <c r="S906" s="989" t="str">
        <f>_xlfn.XLOOKUP(PV_DATA[[#This Row],[New Ark SKU]],Table9[New Ark SKU],Table9[Cable],,0)</f>
        <v>±1200mm</v>
      </c>
      <c r="T906" s="989">
        <v>450</v>
      </c>
      <c r="U906" s="1214">
        <v>3744</v>
      </c>
      <c r="V906" s="459">
        <f>PV_DATA[[#This Row],[QUANTITY]]*PV_DATA[[#This Row],[WATT]]/1000000</f>
        <v>1.6848000000000001</v>
      </c>
      <c r="W906" s="716">
        <f>PV_DATA[[#This Row],[QUANTITY]]/PV_DATA[[#This Row],[Qty/Pallet]]</f>
        <v>104</v>
      </c>
      <c r="X906" s="1112">
        <f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5045</v>
      </c>
      <c r="AB906" s="715">
        <v>46241</v>
      </c>
      <c r="AC906" s="990">
        <f>IF(PV_DATA[[#This Row],[Pick-Up Date]]&lt;&gt;"",_xlfn.ISOWEEKNUM(PV_DATA[[#This Row],[Pick-Up Date]]),"")</f>
        <v>32</v>
      </c>
      <c r="AD906" s="463" t="s">
        <v>6148</v>
      </c>
      <c r="AF906" s="463" t="s">
        <v>61</v>
      </c>
      <c r="AG906" s="463" t="s">
        <v>61</v>
      </c>
      <c r="AH906" s="463" t="s">
        <v>105</v>
      </c>
      <c r="AI906" s="715">
        <v>46249</v>
      </c>
      <c r="AJ906" s="715">
        <v>46249</v>
      </c>
      <c r="AK906" s="715">
        <v>46249</v>
      </c>
      <c r="AL906" s="715">
        <v>46298</v>
      </c>
      <c r="AM906" s="992"/>
      <c r="AN906" s="992"/>
      <c r="AP906" s="463" t="s">
        <v>6149</v>
      </c>
      <c r="AQ906" s="463" t="s">
        <v>161</v>
      </c>
      <c r="AR906" s="463" t="s">
        <v>6150</v>
      </c>
      <c r="AT906" s="463" t="s">
        <v>6151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15"/>
      <c r="AW906" s="71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5">
        <f>IF(ISERROR(PV_DATA[[#This Row],[New Ark PO status]]),"",_xlfn.XLOOKUP(PV_DATA[[#This Row],[SPTN-PVHK New Ark PO'#]],New_Ark_Data[Purchase order Number],New_Ark_Data[Estimated time of arrival],"",0))</f>
        <v>46305</v>
      </c>
      <c r="AZ90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5">
        <f>IFERROR(PV_DATA[[#This Row],[ODP ETA Port]]+PV_DATA[[#This Row],[Customs/Leg3 Assumption]],"n/a")</f>
        <v>46305</v>
      </c>
      <c r="BB906" s="989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440" customFormat="1" ht="10.5" hidden="1">
      <c r="A907" s="440" t="s">
        <v>6152</v>
      </c>
      <c r="B907" s="440" t="s">
        <v>61</v>
      </c>
      <c r="C907" s="440" t="str">
        <f>IFERROR(LEFT(PV_DATA[[#This Row],[TCL REFERENCE]],FIND(".",PV_DATA[[#This Row],[TCL REFERENCE]],1)-1),"Main Line")</f>
        <v>26May007</v>
      </c>
      <c r="D907" s="440" t="s">
        <v>63</v>
      </c>
      <c r="E907" s="440" t="s">
        <v>64</v>
      </c>
      <c r="F907" s="440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40" t="s">
        <v>402</v>
      </c>
      <c r="H907" s="440" t="s">
        <v>67</v>
      </c>
      <c r="I907" s="440" t="s">
        <v>882</v>
      </c>
      <c r="J907" s="440" t="s">
        <v>96</v>
      </c>
      <c r="K907" s="727"/>
      <c r="L907" s="727"/>
      <c r="M907" s="440" t="s">
        <v>68</v>
      </c>
      <c r="N907" s="717">
        <v>45809</v>
      </c>
      <c r="O907" s="440" t="s">
        <v>4526</v>
      </c>
      <c r="P907" s="440" t="s">
        <v>195</v>
      </c>
      <c r="Q907" s="440" t="s">
        <v>196</v>
      </c>
      <c r="R907" s="440" t="str">
        <f>_xlfn.XLOOKUP(PV_DATA[[#This Row],[New Ark SKU]],Table9[New Ark SKU],Table9[Connector],,0)</f>
        <v>EVO2A</v>
      </c>
      <c r="S907" s="724" t="str">
        <f>_xlfn.XLOOKUP(PV_DATA[[#This Row],[New Ark SKU]],Table9[New Ark SKU],Table9[Cable],,0)</f>
        <v>±1200mm</v>
      </c>
      <c r="T907" s="724">
        <v>450</v>
      </c>
      <c r="U907" s="1350">
        <f>936*5</f>
        <v>4680</v>
      </c>
      <c r="V907" s="1405">
        <f>PV_DATA[[#This Row],[QUANTITY]]*PV_DATA[[#This Row],[WATT]]/1000000</f>
        <v>2.1059999999999999</v>
      </c>
      <c r="W907" s="1352">
        <f>PV_DATA[[#This Row],[QUANTITY]]/PV_DATA[[#This Row],[Qty/Pallet]]</f>
        <v>130</v>
      </c>
      <c r="X907" s="1361">
        <f>PV_DATA[[#This Row],[QUANTITY]]/PV_DATA[[#This Row],[Qty/CT]]</f>
        <v>5</v>
      </c>
      <c r="Y907" s="440" t="s">
        <v>2460</v>
      </c>
      <c r="Z907" s="440" t="str">
        <f t="shared" si="12"/>
        <v>IN-TRANSIT</v>
      </c>
      <c r="AB907" s="721">
        <v>46241</v>
      </c>
      <c r="AC907" s="1362">
        <f>IF(PV_DATA[[#This Row],[Pick-Up Date]]&lt;&gt;"",_xlfn.ISOWEEKNUM(PV_DATA[[#This Row],[Pick-Up Date]]),"")</f>
        <v>32</v>
      </c>
      <c r="AD907" s="440" t="s">
        <v>6153</v>
      </c>
      <c r="AF907" s="440" t="s">
        <v>61</v>
      </c>
      <c r="AG907" s="440" t="s">
        <v>61</v>
      </c>
      <c r="AH907" s="440" t="s">
        <v>105</v>
      </c>
      <c r="AI907" s="721">
        <v>46249</v>
      </c>
      <c r="AJ907" s="721">
        <v>46249</v>
      </c>
      <c r="AK907" s="721">
        <v>46249</v>
      </c>
      <c r="AL907" s="721">
        <v>46298</v>
      </c>
      <c r="AM907" s="1355"/>
      <c r="AN907" s="1355"/>
      <c r="AP907" s="440" t="s">
        <v>6149</v>
      </c>
      <c r="AQ907" s="440" t="s">
        <v>161</v>
      </c>
      <c r="AR907" s="440" t="s">
        <v>6150</v>
      </c>
      <c r="AT907" s="440" t="s">
        <v>6151</v>
      </c>
      <c r="AU9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1"/>
      <c r="AW907" s="721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1">
        <f>IF(ISERROR(PV_DATA[[#This Row],[New Ark PO status]]),"",_xlfn.XLOOKUP(PV_DATA[[#This Row],[SPTN-PVHK New Ark PO'#]],New_Ark_Data[Purchase order Number],New_Ark_Data[Estimated time of arrival],"",0))</f>
        <v>46305</v>
      </c>
      <c r="AZ90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1">
        <f>IFERROR(PV_DATA[[#This Row],[ODP ETA Port]]+PV_DATA[[#This Row],[Customs/Leg3 Assumption]],"n/a")</f>
        <v>46305</v>
      </c>
      <c r="BB907" s="724">
        <f>YEAR(PV_DATA[[#This Row],[ETA for New Ark update]])</f>
        <v>2026</v>
      </c>
      <c r="BC907" s="440">
        <f>MONTH(PV_DATA[[#This Row],[ETA for New Ark update]])</f>
        <v>10</v>
      </c>
      <c r="BD907" s="440">
        <f>IFERROR(_xlfn.ISOWEEKNUM(PV_DATA[[#This Row],[ETA for New Ark update]]),0)</f>
        <v>41</v>
      </c>
      <c r="BE907" s="440">
        <f>_xlfn.XLOOKUP(PV_DATA[[#This Row],[New Ark SKU]],Table9[New Ark SKU],Table9[Total PCS per Pallet],,0)</f>
        <v>36</v>
      </c>
      <c r="BF907" s="440">
        <f>_xlfn.XLOOKUP(PV_DATA[[#This Row],[New Ark SKU]],Table9[New Ark SKU],Table9[Total PCS per 40HQ Container],,0)</f>
        <v>936</v>
      </c>
      <c r="BG907" s="440" t="str">
        <f>_xlfn.XLOOKUP(PV_DATA[[#This Row],[New Ark SKU]],Table9[New Ark SKU],Table9[Back Glass],,0)</f>
        <v>Black glazing</v>
      </c>
      <c r="BH907" s="440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6154</v>
      </c>
      <c r="B908" s="463" t="s">
        <v>61</v>
      </c>
      <c r="C908" s="463" t="str">
        <f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14">
        <v>46188</v>
      </c>
      <c r="O908" s="463" t="s">
        <v>4526</v>
      </c>
      <c r="P908" s="463" t="s">
        <v>195</v>
      </c>
      <c r="Q908" s="463" t="s">
        <v>196</v>
      </c>
      <c r="R908" s="463" t="str">
        <f>_xlfn.XLOOKUP(PV_DATA[[#This Row],[New Ark SKU]],Table9[New Ark SKU],Table9[Connector],,0)</f>
        <v>EVO2A</v>
      </c>
      <c r="S908" s="989" t="str">
        <f>_xlfn.XLOOKUP(PV_DATA[[#This Row],[New Ark SKU]],Table9[New Ark SKU],Table9[Cable],,0)</f>
        <v>±1200mm</v>
      </c>
      <c r="T908" s="989">
        <v>450</v>
      </c>
      <c r="U908" s="1214">
        <v>936</v>
      </c>
      <c r="V908" s="459">
        <f>PV_DATA[[#This Row],[QUANTITY]]*PV_DATA[[#This Row],[WATT]]/1000000</f>
        <v>0.42120000000000002</v>
      </c>
      <c r="W908" s="716">
        <f>PV_DATA[[#This Row],[QUANTITY]]/PV_DATA[[#This Row],[Qty/Pallet]]</f>
        <v>26</v>
      </c>
      <c r="X908" s="1112">
        <f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15">
        <v>46241</v>
      </c>
      <c r="AC908" s="990">
        <f>IF(PV_DATA[[#This Row],[Pick-Up Date]]&lt;&gt;"",_xlfn.ISOWEEKNUM(PV_DATA[[#This Row],[Pick-Up Date]]),"")</f>
        <v>32</v>
      </c>
      <c r="AD908" s="463" t="s">
        <v>6155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2"/>
      <c r="AN908" s="992"/>
      <c r="AP908" s="463" t="s">
        <v>6149</v>
      </c>
      <c r="AQ908" s="463" t="s">
        <v>161</v>
      </c>
      <c r="AR908" s="463" t="s">
        <v>6150</v>
      </c>
      <c r="AT908" s="463" t="s">
        <v>6151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15"/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9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6156</v>
      </c>
      <c r="B909" s="463" t="s">
        <v>61</v>
      </c>
      <c r="C909" s="463" t="str">
        <f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46202</v>
      </c>
      <c r="O909" s="463" t="s">
        <v>284</v>
      </c>
      <c r="P909" s="732" t="s">
        <v>6157</v>
      </c>
      <c r="Q909" s="463" t="s">
        <v>1570</v>
      </c>
      <c r="R909" s="463" t="str">
        <f>_xlfn.XLOOKUP(PV_DATA[[#This Row],[New Ark SKU]],Table9[New Ark SKU],Table9[Connector],,0)</f>
        <v>EVO2A</v>
      </c>
      <c r="S909" s="989" t="str">
        <f>_xlfn.XLOOKUP(PV_DATA[[#This Row],[New Ark SKU]],Table9[New Ark SKU],Table9[Cable],,0)</f>
        <v>±1400mm</v>
      </c>
      <c r="T909" s="989">
        <v>650</v>
      </c>
      <c r="U909" s="1214">
        <v>1440</v>
      </c>
      <c r="V909" s="459">
        <f>PV_DATA[[#This Row],[QUANTITY]]*PV_DATA[[#This Row],[WATT]]/1000000</f>
        <v>0.93600000000000005</v>
      </c>
      <c r="W909" s="716">
        <f>PV_DATA[[#This Row],[QUANTITY]]/PV_DATA[[#This Row],[Qty/Pallet]]</f>
        <v>40</v>
      </c>
      <c r="X909" s="1112">
        <f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15">
        <v>46241</v>
      </c>
      <c r="AC909" s="990">
        <f>IF(PV_DATA[[#This Row],[Pick-Up Date]]&lt;&gt;"",_xlfn.ISOWEEKNUM(PV_DATA[[#This Row],[Pick-Up Date]]),"")</f>
        <v>32</v>
      </c>
      <c r="AD909" s="463" t="s">
        <v>6158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46298</v>
      </c>
      <c r="AM909" s="992"/>
      <c r="AN909" s="992"/>
      <c r="AP909" s="463" t="s">
        <v>6149</v>
      </c>
      <c r="AQ909" s="463" t="s">
        <v>161</v>
      </c>
      <c r="AR909" s="463" t="s">
        <v>6150</v>
      </c>
      <c r="AT909" s="463" t="s">
        <v>6151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46305</v>
      </c>
      <c r="AZ90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46305</v>
      </c>
      <c r="BB909" s="989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6159</v>
      </c>
      <c r="B910" s="463" t="s">
        <v>61</v>
      </c>
      <c r="C910" s="463" t="str">
        <f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4526</v>
      </c>
      <c r="P910" s="463" t="s">
        <v>965</v>
      </c>
      <c r="Q910" s="463" t="s">
        <v>966</v>
      </c>
      <c r="R910" s="463" t="str">
        <f>_xlfn.XLOOKUP(PV_DATA[[#This Row],[New Ark SKU]],Table9[New Ark SKU],Table9[Connector],,0)</f>
        <v>EVO2A</v>
      </c>
      <c r="S910" s="989" t="str">
        <f>_xlfn.XLOOKUP(PV_DATA[[#This Row],[New Ark SKU]],Table9[New Ark SKU],Table9[Cable],,0)</f>
        <v>±1200mm</v>
      </c>
      <c r="T910" s="989">
        <v>455</v>
      </c>
      <c r="U910" s="1214">
        <f>936*3</f>
        <v>2808</v>
      </c>
      <c r="V910" s="459">
        <f>PV_DATA[[#This Row],[QUANTITY]]*PV_DATA[[#This Row],[WATT]]/1000000</f>
        <v>1.2776400000000001</v>
      </c>
      <c r="W910" s="716">
        <f>PV_DATA[[#This Row],[QUANTITY]]/PV_DATA[[#This Row],[Qty/Pallet]]</f>
        <v>78</v>
      </c>
      <c r="X910" s="1112">
        <f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5780</v>
      </c>
      <c r="AB910" s="715">
        <v>46243</v>
      </c>
      <c r="AC910" s="990">
        <f>IF(PV_DATA[[#This Row],[Pick-Up Date]]&lt;&gt;"",_xlfn.ISOWEEKNUM(PV_DATA[[#This Row],[Pick-Up Date]]),"")</f>
        <v>32</v>
      </c>
      <c r="AD910" s="463" t="s">
        <v>6160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2"/>
      <c r="AN910" s="992"/>
      <c r="AP910" s="463" t="s">
        <v>6161</v>
      </c>
      <c r="AQ910" s="463" t="s">
        <v>161</v>
      </c>
      <c r="AR910" s="463" t="s">
        <v>6162</v>
      </c>
      <c r="AS910" s="463" t="s">
        <v>6163</v>
      </c>
      <c r="AT910" s="463" t="s">
        <v>6164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9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 hidden="1">
      <c r="A911" s="463" t="s">
        <v>6165</v>
      </c>
      <c r="B911" s="463" t="s">
        <v>61</v>
      </c>
      <c r="C911" s="463" t="str">
        <f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14">
        <v>46188</v>
      </c>
      <c r="O911" s="463" t="s">
        <v>4526</v>
      </c>
      <c r="P911" s="463" t="s">
        <v>195</v>
      </c>
      <c r="Q911" s="463" t="s">
        <v>196</v>
      </c>
      <c r="R911" s="463" t="str">
        <f>_xlfn.XLOOKUP(PV_DATA[[#This Row],[New Ark SKU]],Table9[New Ark SKU],Table9[Connector],,0)</f>
        <v>EVO2A</v>
      </c>
      <c r="S911" s="989" t="str">
        <f>_xlfn.XLOOKUP(PV_DATA[[#This Row],[New Ark SKU]],Table9[New Ark SKU],Table9[Cable],,0)</f>
        <v>±1200mm</v>
      </c>
      <c r="T911" s="989">
        <v>450</v>
      </c>
      <c r="U911" s="1214">
        <f>936*3</f>
        <v>2808</v>
      </c>
      <c r="V911" s="459">
        <f>PV_DATA[[#This Row],[QUANTITY]]*PV_DATA[[#This Row],[WATT]]/1000000</f>
        <v>1.2636000000000001</v>
      </c>
      <c r="W911" s="716">
        <f>PV_DATA[[#This Row],[QUANTITY]]/PV_DATA[[#This Row],[Qty/Pallet]]</f>
        <v>78</v>
      </c>
      <c r="X911" s="1112">
        <f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15">
        <v>46243</v>
      </c>
      <c r="AC911" s="990">
        <f>IF(PV_DATA[[#This Row],[Pick-Up Date]]&lt;&gt;"",_xlfn.ISOWEEKNUM(PV_DATA[[#This Row],[Pick-Up Date]]),"")</f>
        <v>32</v>
      </c>
      <c r="AD911" s="463" t="s">
        <v>6166</v>
      </c>
      <c r="AF911" s="463" t="s">
        <v>61</v>
      </c>
      <c r="AG911" s="463" t="s">
        <v>61</v>
      </c>
      <c r="AH911" s="463" t="s">
        <v>105</v>
      </c>
      <c r="AI911" s="715">
        <v>46249</v>
      </c>
      <c r="AJ911" s="715">
        <v>46249</v>
      </c>
      <c r="AK911" s="715">
        <v>46249</v>
      </c>
      <c r="AL911" s="715">
        <v>46305</v>
      </c>
      <c r="AM911" s="992"/>
      <c r="AN911" s="992"/>
      <c r="AP911" s="463" t="s">
        <v>6161</v>
      </c>
      <c r="AQ911" s="463" t="s">
        <v>161</v>
      </c>
      <c r="AR911" s="463" t="s">
        <v>6162</v>
      </c>
      <c r="AS911" s="463" t="s">
        <v>6163</v>
      </c>
      <c r="AT911" s="463" t="s">
        <v>6164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15"/>
      <c r="AW911" s="71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15">
        <f>IF(ISERROR(PV_DATA[[#This Row],[New Ark PO status]]),"",_xlfn.XLOOKUP(PV_DATA[[#This Row],[SPTN-PVHK New Ark PO'#]],New_Ark_Data[Purchase order Number],New_Ark_Data[Estimated time of arrival],"",0))</f>
        <v>46312</v>
      </c>
      <c r="AZ91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15">
        <f>IFERROR(PV_DATA[[#This Row],[ODP ETA Port]]+PV_DATA[[#This Row],[Customs/Leg3 Assumption]],"n/a")</f>
        <v>46312</v>
      </c>
      <c r="BB911" s="989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 hidden="1">
      <c r="A912" s="463" t="s">
        <v>6167</v>
      </c>
      <c r="B912" s="463" t="s">
        <v>61</v>
      </c>
      <c r="C912" s="463" t="str">
        <f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207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10">
        <f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4985</v>
      </c>
      <c r="AB912" s="715">
        <v>46243</v>
      </c>
      <c r="AC912" s="487">
        <f>IF(PV_DATA[[#This Row],[Pick-Up Date]]&lt;&gt;"",_xlfn.ISOWEEKNUM(PV_DATA[[#This Row],[Pick-Up Date]]),"")</f>
        <v>32</v>
      </c>
      <c r="AD912" s="431" t="s">
        <v>6168</v>
      </c>
      <c r="AE912" s="431"/>
      <c r="AF912" s="431" t="s">
        <v>77</v>
      </c>
      <c r="AG912" s="431" t="s">
        <v>61</v>
      </c>
      <c r="AH912" s="431" t="s">
        <v>105</v>
      </c>
      <c r="AI912" s="715">
        <v>46249</v>
      </c>
      <c r="AJ912" s="438">
        <v>46249</v>
      </c>
      <c r="AK912" s="438">
        <v>46249</v>
      </c>
      <c r="AL912" s="438">
        <v>46305</v>
      </c>
      <c r="AM912" s="590"/>
      <c r="AN912" s="590"/>
      <c r="AP912" s="431" t="s">
        <v>6161</v>
      </c>
      <c r="AQ912" s="431" t="s">
        <v>161</v>
      </c>
      <c r="AR912" s="431" t="s">
        <v>6162</v>
      </c>
      <c r="AS912" s="431" t="s">
        <v>6163</v>
      </c>
      <c r="AT912" s="431" t="s">
        <v>6164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6169</v>
      </c>
      <c r="B913" s="463" t="s">
        <v>61</v>
      </c>
      <c r="C913" s="463" t="str">
        <f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14">
        <v>46188</v>
      </c>
      <c r="O913" s="463" t="s">
        <v>4526</v>
      </c>
      <c r="P913" s="463" t="s">
        <v>1002</v>
      </c>
      <c r="Q913" s="463" t="s">
        <v>330</v>
      </c>
      <c r="R913" s="463" t="str">
        <f>_xlfn.XLOOKUP(PV_DATA[[#This Row],[New Ark SKU]],Table9[New Ark SKU],Table9[Connector],,0)</f>
        <v>EVO2A</v>
      </c>
      <c r="S913" s="989" t="str">
        <f>_xlfn.XLOOKUP(PV_DATA[[#This Row],[New Ark SKU]],Table9[New Ark SKU],Table9[Cable],,0)</f>
        <v>±1400mm</v>
      </c>
      <c r="T913" s="989">
        <v>625</v>
      </c>
      <c r="U913" s="1214">
        <v>1440</v>
      </c>
      <c r="V913" s="459">
        <f>PV_DATA[[#This Row],[QUANTITY]]*PV_DATA[[#This Row],[WATT]]/1000000</f>
        <v>0.9</v>
      </c>
      <c r="W913" s="716">
        <f>PV_DATA[[#This Row],[QUANTITY]]/PV_DATA[[#This Row],[Qty/Pallet]]</f>
        <v>40</v>
      </c>
      <c r="X913" s="1112">
        <f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15">
        <v>46243</v>
      </c>
      <c r="AC913" s="990">
        <f>IF(PV_DATA[[#This Row],[Pick-Up Date]]&lt;&gt;"",_xlfn.ISOWEEKNUM(PV_DATA[[#This Row],[Pick-Up Date]]),"")</f>
        <v>32</v>
      </c>
      <c r="AD913" s="463" t="s">
        <v>6170</v>
      </c>
      <c r="AF913" s="463" t="s">
        <v>61</v>
      </c>
      <c r="AG913" s="463" t="s">
        <v>61</v>
      </c>
      <c r="AH913" s="463" t="s">
        <v>105</v>
      </c>
      <c r="AI913" s="715">
        <v>46249</v>
      </c>
      <c r="AJ913" s="715">
        <v>46249</v>
      </c>
      <c r="AK913" s="715">
        <v>46249</v>
      </c>
      <c r="AL913" s="715">
        <v>46305</v>
      </c>
      <c r="AM913" s="992"/>
      <c r="AN913" s="992"/>
      <c r="AP913" s="463" t="s">
        <v>6161</v>
      </c>
      <c r="AQ913" s="463" t="s">
        <v>161</v>
      </c>
      <c r="AR913" s="463" t="s">
        <v>6162</v>
      </c>
      <c r="AS913" s="463" t="s">
        <v>6163</v>
      </c>
      <c r="AT913" s="463" t="s">
        <v>6164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15"/>
      <c r="AW913" s="71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5">
        <f>IF(ISERROR(PV_DATA[[#This Row],[New Ark PO status]]),"",_xlfn.XLOOKUP(PV_DATA[[#This Row],[SPTN-PVHK New Ark PO'#]],New_Ark_Data[Purchase order Number],New_Ark_Data[Estimated time of arrival],"",0))</f>
        <v>46312</v>
      </c>
      <c r="AZ91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5">
        <f>IFERROR(PV_DATA[[#This Row],[ODP ETA Port]]+PV_DATA[[#This Row],[Customs/Leg3 Assumption]],"n/a")</f>
        <v>46312</v>
      </c>
      <c r="BB913" s="989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 hidden="1">
      <c r="A914" s="463" t="s">
        <v>6171</v>
      </c>
      <c r="B914" s="463" t="s">
        <v>1757</v>
      </c>
      <c r="C914" s="463" t="str">
        <f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88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88" t="s">
        <v>402</v>
      </c>
      <c r="H914" s="463" t="s">
        <v>6172</v>
      </c>
      <c r="I914" s="463" t="s">
        <v>689</v>
      </c>
      <c r="J914" s="431" t="s">
        <v>6172</v>
      </c>
      <c r="K914" s="431" t="s">
        <v>6173</v>
      </c>
      <c r="L914" s="431">
        <v>2</v>
      </c>
      <c r="M914" s="431" t="s">
        <v>4962</v>
      </c>
      <c r="N914" s="433" t="s">
        <v>6174</v>
      </c>
      <c r="O914" s="431" t="s">
        <v>284</v>
      </c>
      <c r="P914" s="431" t="s">
        <v>5846</v>
      </c>
      <c r="Q914" s="431" t="s">
        <v>5847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215">
        <f>936*11</f>
        <v>10296</v>
      </c>
      <c r="V914" s="435">
        <f>PV_DATA[[#This Row],[QUANTITY]]*PV_DATA[[#This Row],[WATT]]/1000000</f>
        <v>4.9935600000000004</v>
      </c>
      <c r="W914" s="1026">
        <f>PV_DATA[[#This Row],[QUANTITY]]/36</f>
        <v>286</v>
      </c>
      <c r="X914" s="1110">
        <f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7" t="s">
        <v>5848</v>
      </c>
      <c r="AB914" s="438">
        <v>46256</v>
      </c>
      <c r="AC914" s="487">
        <f>IF(PV_DATA[[#This Row],[Pick-Up Date]]&lt;&gt;"",_xlfn.ISOWEEKNUM(PV_DATA[[#This Row],[Pick-Up Date]]),"")</f>
        <v>34</v>
      </c>
      <c r="AD914" s="431" t="s">
        <v>6175</v>
      </c>
      <c r="AE914" s="431"/>
      <c r="AF914" s="431" t="s">
        <v>5850</v>
      </c>
      <c r="AG914" s="431" t="s">
        <v>123</v>
      </c>
      <c r="AH914" s="431" t="s">
        <v>541</v>
      </c>
      <c r="AI914" s="715">
        <v>46263</v>
      </c>
      <c r="AJ914" s="715">
        <f>IFERROR(VLOOKUP(AT914, Vessel!A:D, 4, FALSE), "")</f>
        <v>46264.5625</v>
      </c>
      <c r="AK914" s="438">
        <v>46264</v>
      </c>
      <c r="AL914" s="1272">
        <v>46304</v>
      </c>
      <c r="AN914" s="590" t="str">
        <f>IFERROR(IF(VLOOKUP(AT914,Vessel!A:I,9,FALSE)=0,"",VLOOKUP(AT914,Vessel!A:I,9,FALSE)),"")</f>
        <v/>
      </c>
      <c r="AP914" s="431" t="s">
        <v>6176</v>
      </c>
      <c r="AQ914" s="439" t="s">
        <v>80</v>
      </c>
      <c r="AR914" s="431" t="s">
        <v>6177</v>
      </c>
      <c r="AS914" s="431" t="s">
        <v>6178</v>
      </c>
      <c r="AT914" s="431" t="s">
        <v>6178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2" t="str">
        <f>_xlfn.XLOOKUP(PV_DATA[[#This Row],[PORT DESTINATION]],Table12[PORT DESTINATION],Table12[Cosco Line],,0)</f>
        <v>AEU</v>
      </c>
      <c r="BJ914" s="431"/>
    </row>
    <row r="915" spans="1:62" s="463" customFormat="1" ht="10.5" hidden="1">
      <c r="A915" s="731" t="s">
        <v>6179</v>
      </c>
      <c r="B915" s="463" t="s">
        <v>1757</v>
      </c>
      <c r="C915" s="463" t="str">
        <f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88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6180</v>
      </c>
      <c r="M915" s="463" t="s">
        <v>68</v>
      </c>
      <c r="N915" s="714" t="s">
        <v>6174</v>
      </c>
      <c r="O915" s="463" t="s">
        <v>284</v>
      </c>
      <c r="P915" s="463" t="s">
        <v>6181</v>
      </c>
      <c r="Q915" s="463" t="s">
        <v>6182</v>
      </c>
      <c r="R915" s="463" t="str">
        <f>_xlfn.XLOOKUP(PV_DATA[[#This Row],[New Ark SKU]],Table9[New Ark SKU],Table9[Connector],,0)</f>
        <v>EVO2A</v>
      </c>
      <c r="S915" s="989" t="str">
        <f>_xlfn.XLOOKUP(PV_DATA[[#This Row],[New Ark SKU]],Table9[New Ark SKU],Table9[Cable],,0)</f>
        <v>±1200mm</v>
      </c>
      <c r="T915" s="989">
        <v>490</v>
      </c>
      <c r="U915" s="1214">
        <f>936</f>
        <v>936</v>
      </c>
      <c r="V915" s="459">
        <f>PV_DATA[[#This Row],[QUANTITY]]*PV_DATA[[#This Row],[WATT]]/1000000</f>
        <v>0.45863999999999999</v>
      </c>
      <c r="W915" s="997">
        <f>PV_DATA[[#This Row],[QUANTITY]]/36</f>
        <v>26</v>
      </c>
      <c r="X915" s="1112">
        <f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57" t="s">
        <v>5848</v>
      </c>
      <c r="AB915" s="715">
        <v>46254</v>
      </c>
      <c r="AC915" s="990">
        <f>IF(PV_DATA[[#This Row],[Pick-Up Date]]&lt;&gt;"",_xlfn.ISOWEEKNUM(PV_DATA[[#This Row],[Pick-Up Date]]),"")</f>
        <v>34</v>
      </c>
      <c r="AD915" s="463" t="s">
        <v>6183</v>
      </c>
      <c r="AE915" s="463" t="s">
        <v>6183</v>
      </c>
      <c r="AF915" s="988" t="s">
        <v>5850</v>
      </c>
      <c r="AG915" s="463" t="s">
        <v>123</v>
      </c>
      <c r="AH915" s="463" t="s">
        <v>456</v>
      </c>
      <c r="AI915" s="715">
        <v>46258</v>
      </c>
      <c r="AJ915" s="715"/>
      <c r="AK915" s="715">
        <f>IFERROR(IF(VLOOKUP(AT915,Vessel!A:F,5,FALSE)=0,"",VLOOKUP(AT915,Vessel!A:F,5,FALSE)),"")</f>
        <v>46257.983877314815</v>
      </c>
      <c r="AL915" s="1274">
        <v>46299</v>
      </c>
      <c r="AM915" s="715"/>
      <c r="AN915" s="992" t="str">
        <f>IFERROR(IF(VLOOKUP(AT915,Vessel!A:I,9,FALSE)=0,"",VLOOKUP(AT915,Vessel!A:I,9,FALSE)),"")</f>
        <v/>
      </c>
      <c r="AP915" s="463" t="s">
        <v>6184</v>
      </c>
      <c r="AQ915" s="1014" t="s">
        <v>80</v>
      </c>
      <c r="AR915" s="463" t="s">
        <v>6185</v>
      </c>
      <c r="AS915" s="463" t="s">
        <v>6186</v>
      </c>
      <c r="AT915" s="463" t="s">
        <v>6186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1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5">
        <f>IF(ISERROR(PV_DATA[[#This Row],[New Ark PO status]]),"",_xlfn.XLOOKUP(PV_DATA[[#This Row],[SPTN-PVHK New Ark PO'#]],New_Ark_Data[Purchase order Number],New_Ark_Data[Estimated time of arrival],"",0))</f>
        <v>46306</v>
      </c>
      <c r="AZ91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15">
        <f>IFERROR(PV_DATA[[#This Row],[ODP ETA Port]]+PV_DATA[[#This Row],[Customs/Leg3 Assumption]],"n/a")</f>
        <v>46306</v>
      </c>
      <c r="BB915" s="989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991" t="str">
        <f>_xlfn.XLOOKUP(PV_DATA[[#This Row],[PORT DESTINATION]],Table12[PORT DESTINATION],Table12[Cosco Line],,0)</f>
        <v>AEU</v>
      </c>
    </row>
    <row r="916" spans="1:62" s="463" customFormat="1" ht="10.5" hidden="1">
      <c r="A916" s="994" t="s">
        <v>6187</v>
      </c>
      <c r="B916" s="988" t="s">
        <v>1757</v>
      </c>
      <c r="C916" s="988" t="str">
        <f>IFERROR(LEFT(PV_DATA[[#This Row],[TCL REFERENCE]],FIND(".",PV_DATA[[#This Row],[TCL REFERENCE]],1)-1),"Main Line")</f>
        <v>26Jul018</v>
      </c>
      <c r="D916" s="463" t="s">
        <v>63</v>
      </c>
      <c r="E916" s="988" t="s">
        <v>64</v>
      </c>
      <c r="F916" s="988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88" t="s">
        <v>402</v>
      </c>
      <c r="H916" s="463" t="s">
        <v>451</v>
      </c>
      <c r="I916" s="463" t="s">
        <v>882</v>
      </c>
      <c r="J916" s="988" t="s">
        <v>6188</v>
      </c>
      <c r="K916" s="988"/>
      <c r="L916" s="988"/>
      <c r="M916" s="463" t="s">
        <v>68</v>
      </c>
      <c r="N916" s="714">
        <v>46230</v>
      </c>
      <c r="O916" s="463" t="s">
        <v>284</v>
      </c>
      <c r="P916" s="988" t="s">
        <v>6181</v>
      </c>
      <c r="Q916" s="988" t="s">
        <v>6182</v>
      </c>
      <c r="R916" s="988" t="str">
        <f>_xlfn.XLOOKUP(PV_DATA[[#This Row],[New Ark SKU]],Table9[New Ark SKU],Table9[Connector],,0)</f>
        <v>EVO2A</v>
      </c>
      <c r="S916" s="989" t="str">
        <f>_xlfn.XLOOKUP(PV_DATA[[#This Row],[New Ark SKU]],Table9[New Ark SKU],Table9[Cable],,0)</f>
        <v>±1200mm</v>
      </c>
      <c r="T916" s="995">
        <v>490</v>
      </c>
      <c r="U916" s="1217">
        <f>1872</f>
        <v>1872</v>
      </c>
      <c r="V916" s="996">
        <f>PV_DATA[[#This Row],[QUANTITY]]*PV_DATA[[#This Row],[WATT]]/1000000</f>
        <v>0.91727999999999998</v>
      </c>
      <c r="W916" s="997">
        <f>PV_DATA[[#This Row],[QUANTITY]]/36</f>
        <v>52</v>
      </c>
      <c r="X916" s="1112">
        <f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57" t="s">
        <v>5848</v>
      </c>
      <c r="AB916" s="1015">
        <v>46254</v>
      </c>
      <c r="AC916" s="1158">
        <f>IF(PV_DATA[[#This Row],[Pick-Up Date]]&lt;&gt;"",_xlfn.ISOWEEKNUM(PV_DATA[[#This Row],[Pick-Up Date]]),"")</f>
        <v>34</v>
      </c>
      <c r="AD916" s="988" t="s">
        <v>6189</v>
      </c>
      <c r="AE916" s="988" t="s">
        <v>6189</v>
      </c>
      <c r="AF916" s="988" t="s">
        <v>5850</v>
      </c>
      <c r="AG916" s="463" t="s">
        <v>123</v>
      </c>
      <c r="AH916" s="463" t="s">
        <v>456</v>
      </c>
      <c r="AI916" s="1015">
        <v>46258</v>
      </c>
      <c r="AJ916" s="715"/>
      <c r="AK916" s="715">
        <f>IFERROR(IF(VLOOKUP(AT916,Vessel!A:F,5,FALSE)=0,"",VLOOKUP(AT916,Vessel!A:F,5,FALSE)),"")</f>
        <v>46257.983877314815</v>
      </c>
      <c r="AL916" s="1273">
        <v>46299</v>
      </c>
      <c r="AM916" s="1015"/>
      <c r="AN916" s="992" t="str">
        <f>IFERROR(IF(VLOOKUP(AT916,Vessel!A:I,9,FALSE)=0,"",VLOOKUP(AT916,Vessel!A:I,9,FALSE)),"")</f>
        <v/>
      </c>
      <c r="AO916" s="988"/>
      <c r="AP916" s="988" t="s">
        <v>6184</v>
      </c>
      <c r="AQ916" s="1014" t="s">
        <v>80</v>
      </c>
      <c r="AR916" s="463" t="s">
        <v>6185</v>
      </c>
      <c r="AS916" s="988" t="s">
        <v>6186</v>
      </c>
      <c r="AT916" s="988" t="s">
        <v>6186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88"/>
      <c r="AW916" s="10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15">
        <f>IF(ISERROR(PV_DATA[[#This Row],[New Ark PO status]]),"",_xlfn.XLOOKUP(PV_DATA[[#This Row],[SPTN-PVHK New Ark PO'#]],New_Ark_Data[Purchase order Number],New_Ark_Data[Estimated time of arrival],"",0))</f>
        <v>46306</v>
      </c>
      <c r="AZ916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15">
        <f>IFERROR(PV_DATA[[#This Row],[ODP ETA Port]]+PV_DATA[[#This Row],[Customs/Leg3 Assumption]],"n/a")</f>
        <v>46306</v>
      </c>
      <c r="BB916" s="995">
        <f>YEAR(PV_DATA[[#This Row],[ETA for New Ark update]])</f>
        <v>2026</v>
      </c>
      <c r="BC916" s="988">
        <f>MONTH(PV_DATA[[#This Row],[ETA for New Ark update]])</f>
        <v>10</v>
      </c>
      <c r="BD916" s="988">
        <f>IFERROR(_xlfn.ISOWEEKNUM(PV_DATA[[#This Row],[ETA for New Ark update]]),0)</f>
        <v>41</v>
      </c>
      <c r="BE916" s="988">
        <f>_xlfn.XLOOKUP(PV_DATA[[#This Row],[New Ark SKU]],Table9[New Ark SKU],Table9[Total PCS per Pallet],,0)</f>
        <v>36</v>
      </c>
      <c r="BF916" s="988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159" t="str">
        <f>_xlfn.XLOOKUP(PV_DATA[[#This Row],[PORT DESTINATION]],Table12[PORT DESTINATION],Table12[Cosco Line],,0)</f>
        <v>AEU</v>
      </c>
    </row>
    <row r="917" spans="1:62" s="463" customFormat="1" ht="10.5" hidden="1">
      <c r="A917" s="731" t="s">
        <v>6190</v>
      </c>
      <c r="B917" s="463" t="s">
        <v>1757</v>
      </c>
      <c r="C917" s="463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8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8" t="s">
        <v>6191</v>
      </c>
      <c r="M917" s="463" t="s">
        <v>68</v>
      </c>
      <c r="N917" s="714" t="s">
        <v>6174</v>
      </c>
      <c r="O917" s="463" t="s">
        <v>284</v>
      </c>
      <c r="P917" s="463" t="s">
        <v>5846</v>
      </c>
      <c r="Q917" s="463" t="s">
        <v>5847</v>
      </c>
      <c r="R917" s="463" t="str">
        <f>_xlfn.XLOOKUP(PV_DATA[[#This Row],[New Ark SKU]],Table9[New Ark SKU],Table9[Connector],,0)</f>
        <v>EVO2A</v>
      </c>
      <c r="S917" s="989" t="str">
        <f>_xlfn.XLOOKUP(PV_DATA[[#This Row],[New Ark SKU]],Table9[New Ark SKU],Table9[Cable],,0)</f>
        <v>±1200mm</v>
      </c>
      <c r="T917" s="989">
        <v>485</v>
      </c>
      <c r="U917" s="1214">
        <v>936</v>
      </c>
      <c r="V917" s="459">
        <f>PV_DATA[[#This Row],[QUANTITY]]*PV_DATA[[#This Row],[WATT]]/1000000</f>
        <v>0.45395999999999997</v>
      </c>
      <c r="W917" s="997">
        <f>PV_DATA[[#This Row],[QUANTITY]]/36</f>
        <v>26</v>
      </c>
      <c r="X917" s="1112">
        <f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60">
        <v>46253</v>
      </c>
      <c r="AB917" s="715">
        <v>46254</v>
      </c>
      <c r="AC917" s="990">
        <f>IF(PV_DATA[[#This Row],[Pick-Up Date]]&lt;&gt;"",_xlfn.ISOWEEKNUM(PV_DATA[[#This Row],[Pick-Up Date]]),"")</f>
        <v>34</v>
      </c>
      <c r="AD917" s="463" t="s">
        <v>6192</v>
      </c>
      <c r="AE917" s="463" t="s">
        <v>6192</v>
      </c>
      <c r="AF917" s="988" t="s">
        <v>5850</v>
      </c>
      <c r="AG917" s="463" t="s">
        <v>123</v>
      </c>
      <c r="AH917" s="463" t="s">
        <v>456</v>
      </c>
      <c r="AI917" s="715">
        <v>46258</v>
      </c>
      <c r="AJ917" s="715"/>
      <c r="AK917" s="715">
        <f>IFERROR(IF(VLOOKUP(AT917,Vessel!A:F,5,FALSE)=0,"",VLOOKUP(AT917,Vessel!A:F,5,FALSE)),"")</f>
        <v>46257.983877314815</v>
      </c>
      <c r="AL917" s="1274">
        <v>46299</v>
      </c>
      <c r="AM917" s="715"/>
      <c r="AN917" s="992" t="str">
        <f>IFERROR(IF(VLOOKUP(AT917,Vessel!A:I,9,FALSE)=0,"",VLOOKUP(AT917,Vessel!A:I,9,FALSE)),"")</f>
        <v/>
      </c>
      <c r="AP917" s="463" t="s">
        <v>6184</v>
      </c>
      <c r="AQ917" s="1014" t="s">
        <v>80</v>
      </c>
      <c r="AR917" s="463" t="s">
        <v>6185</v>
      </c>
      <c r="AS917" s="463" t="s">
        <v>6186</v>
      </c>
      <c r="AT917" s="463" t="s">
        <v>6186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1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5">
        <f>IF(ISERROR(PV_DATA[[#This Row],[New Ark PO status]]),"",_xlfn.XLOOKUP(PV_DATA[[#This Row],[SPTN-PVHK New Ark PO'#]],New_Ark_Data[Purchase order Number],New_Ark_Data[Estimated time of arrival],"",0))</f>
        <v>46306</v>
      </c>
      <c r="AZ91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15">
        <f>IFERROR(PV_DATA[[#This Row],[ODP ETA Port]]+PV_DATA[[#This Row],[Customs/Leg3 Assumption]],"n/a")</f>
        <v>46306</v>
      </c>
      <c r="BB917" s="989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991" t="str">
        <f>_xlfn.XLOOKUP(PV_DATA[[#This Row],[PORT DESTINATION]],Table12[PORT DESTINATION],Table12[Cosco Line],,0)</f>
        <v>AEU</v>
      </c>
    </row>
    <row r="918" spans="1:62" s="463" customFormat="1" ht="10.5" hidden="1">
      <c r="A918" s="994" t="s">
        <v>6193</v>
      </c>
      <c r="B918" s="988" t="s">
        <v>1757</v>
      </c>
      <c r="C918" s="988" t="str">
        <f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88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88" t="s">
        <v>5845</v>
      </c>
      <c r="K918" s="988"/>
      <c r="L918" s="988"/>
      <c r="M918" s="463" t="s">
        <v>68</v>
      </c>
      <c r="N918" s="714">
        <v>46230</v>
      </c>
      <c r="O918" s="463" t="s">
        <v>284</v>
      </c>
      <c r="P918" s="988" t="s">
        <v>5846</v>
      </c>
      <c r="Q918" s="988" t="s">
        <v>5847</v>
      </c>
      <c r="R918" s="988" t="str">
        <f>_xlfn.XLOOKUP(PV_DATA[[#This Row],[New Ark SKU]],Table9[New Ark SKU],Table9[Connector],,0)</f>
        <v>EVO2A</v>
      </c>
      <c r="S918" s="989" t="str">
        <f>_xlfn.XLOOKUP(PV_DATA[[#This Row],[New Ark SKU]],Table9[New Ark SKU],Table9[Cable],,0)</f>
        <v>±1200mm</v>
      </c>
      <c r="T918" s="995">
        <v>485</v>
      </c>
      <c r="U918" s="1217">
        <v>936</v>
      </c>
      <c r="V918" s="996">
        <f>PV_DATA[[#This Row],[QUANTITY]]*PV_DATA[[#This Row],[WATT]]/1000000</f>
        <v>0.45395999999999997</v>
      </c>
      <c r="W918" s="997">
        <f>PV_DATA[[#This Row],[QUANTITY]]/36</f>
        <v>26</v>
      </c>
      <c r="X918" s="1112">
        <f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60">
        <v>46253</v>
      </c>
      <c r="AB918" s="1015">
        <v>46254</v>
      </c>
      <c r="AC918" s="1158">
        <f>IF(PV_DATA[[#This Row],[Pick-Up Date]]&lt;&gt;"",_xlfn.ISOWEEKNUM(PV_DATA[[#This Row],[Pick-Up Date]]),"")</f>
        <v>34</v>
      </c>
      <c r="AD918" s="988" t="s">
        <v>6194</v>
      </c>
      <c r="AE918" s="988" t="s">
        <v>6194</v>
      </c>
      <c r="AF918" s="988" t="s">
        <v>5850</v>
      </c>
      <c r="AG918" s="463" t="s">
        <v>123</v>
      </c>
      <c r="AH918" s="463" t="s">
        <v>456</v>
      </c>
      <c r="AI918" s="1015">
        <v>46258</v>
      </c>
      <c r="AJ918" s="1015"/>
      <c r="AK918" s="715">
        <f>IFERROR(IF(VLOOKUP(AT918,Vessel!A:F,5,FALSE)=0,"",VLOOKUP(AT918,Vessel!A:F,5,FALSE)),"")</f>
        <v>46257.983877314815</v>
      </c>
      <c r="AL918" s="1273">
        <v>46299</v>
      </c>
      <c r="AM918" s="1015"/>
      <c r="AN918" s="992" t="str">
        <f>IFERROR(IF(VLOOKUP(AT918,Vessel!A:I,9,FALSE)=0,"",VLOOKUP(AT918,Vessel!A:I,9,FALSE)),"")</f>
        <v/>
      </c>
      <c r="AO918" s="988"/>
      <c r="AP918" s="988" t="s">
        <v>6184</v>
      </c>
      <c r="AQ918" s="1014" t="s">
        <v>80</v>
      </c>
      <c r="AR918" s="463" t="s">
        <v>6185</v>
      </c>
      <c r="AS918" s="988" t="s">
        <v>6186</v>
      </c>
      <c r="AT918" s="988" t="s">
        <v>6186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88"/>
      <c r="AW918" s="10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15">
        <f>IF(ISERROR(PV_DATA[[#This Row],[New Ark PO status]]),"",_xlfn.XLOOKUP(PV_DATA[[#This Row],[SPTN-PVHK New Ark PO'#]],New_Ark_Data[Purchase order Number],New_Ark_Data[Estimated time of arrival],"",0))</f>
        <v>46306</v>
      </c>
      <c r="AZ918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15">
        <f>IFERROR(PV_DATA[[#This Row],[ODP ETA Port]]+PV_DATA[[#This Row],[Customs/Leg3 Assumption]],"n/a")</f>
        <v>46306</v>
      </c>
      <c r="BB918" s="995">
        <f>YEAR(PV_DATA[[#This Row],[ETA for New Ark update]])</f>
        <v>2026</v>
      </c>
      <c r="BC918" s="988">
        <f>MONTH(PV_DATA[[#This Row],[ETA for New Ark update]])</f>
        <v>10</v>
      </c>
      <c r="BD918" s="988">
        <f>IFERROR(_xlfn.ISOWEEKNUM(PV_DATA[[#This Row],[ETA for New Ark update]]),0)</f>
        <v>41</v>
      </c>
      <c r="BE918" s="988">
        <f>_xlfn.XLOOKUP(PV_DATA[[#This Row],[New Ark SKU]],Table9[New Ark SKU],Table9[Total PCS per Pallet],,0)</f>
        <v>36</v>
      </c>
      <c r="BF918" s="988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159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6195</v>
      </c>
      <c r="B919" s="463" t="s">
        <v>1757</v>
      </c>
      <c r="C919" s="463" t="str">
        <f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8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88" t="s">
        <v>402</v>
      </c>
      <c r="H919" s="463" t="s">
        <v>6172</v>
      </c>
      <c r="I919" s="463" t="s">
        <v>689</v>
      </c>
      <c r="J919" s="463" t="s">
        <v>6172</v>
      </c>
      <c r="K919" s="463" t="s">
        <v>6196</v>
      </c>
      <c r="L919" s="463">
        <v>4</v>
      </c>
      <c r="M919" s="463" t="s">
        <v>840</v>
      </c>
      <c r="N919" s="714" t="s">
        <v>6174</v>
      </c>
      <c r="O919" s="463" t="s">
        <v>284</v>
      </c>
      <c r="P919" s="463" t="s">
        <v>5846</v>
      </c>
      <c r="Q919" s="463" t="s">
        <v>5847</v>
      </c>
      <c r="R919" s="463" t="str">
        <f>_xlfn.XLOOKUP(PV_DATA[[#This Row],[New Ark SKU]],Table9[New Ark SKU],Table9[Connector],,0)</f>
        <v>EVO2A</v>
      </c>
      <c r="S919" s="989" t="str">
        <f>_xlfn.XLOOKUP(PV_DATA[[#This Row],[New Ark SKU]],Table9[New Ark SKU],Table9[Cable],,0)</f>
        <v>±1200mm</v>
      </c>
      <c r="T919" s="989">
        <v>485</v>
      </c>
      <c r="U919" s="1214">
        <f>936*5</f>
        <v>4680</v>
      </c>
      <c r="V919" s="459">
        <f>PV_DATA[[#This Row],[QUANTITY]]*PV_DATA[[#This Row],[WATT]]/1000000</f>
        <v>2.2698</v>
      </c>
      <c r="W919" s="997">
        <f>PV_DATA[[#This Row],[QUANTITY]]/36</f>
        <v>130</v>
      </c>
      <c r="X919" s="1112">
        <f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60">
        <v>46252</v>
      </c>
      <c r="AB919" s="715">
        <v>46251</v>
      </c>
      <c r="AC919" s="990">
        <f>IF(PV_DATA[[#This Row],[Pick-Up Date]]&lt;&gt;"",_xlfn.ISOWEEKNUM(PV_DATA[[#This Row],[Pick-Up Date]]),"")</f>
        <v>34</v>
      </c>
      <c r="AD919" s="463" t="s">
        <v>6197</v>
      </c>
      <c r="AE919" s="463" t="s">
        <v>6197</v>
      </c>
      <c r="AF919" s="988" t="s">
        <v>5850</v>
      </c>
      <c r="AG919" s="463" t="s">
        <v>123</v>
      </c>
      <c r="AH919" s="463" t="s">
        <v>456</v>
      </c>
      <c r="AI919" s="715">
        <v>46258</v>
      </c>
      <c r="AJ919" s="715"/>
      <c r="AK919" s="715">
        <f>IFERROR(IF(VLOOKUP(AT919,Vessel!A:F,5,FALSE)=0,"",VLOOKUP(AT919,Vessel!A:F,5,FALSE)),"")</f>
        <v>46257.983877314815</v>
      </c>
      <c r="AL919" s="1274">
        <v>46299</v>
      </c>
      <c r="AM919" s="992">
        <f>IFERROR(VLOOKUP(AT919, Vessel!A:H, 8, FALSE), "")</f>
        <v>46297.291666666664</v>
      </c>
      <c r="AN919" s="992" t="str">
        <f>IFERROR(IF(VLOOKUP(AT919,Vessel!A:I,9,FALSE)=0,"",VLOOKUP(AT919,Vessel!A:I,9,FALSE)),"")</f>
        <v/>
      </c>
      <c r="AP919" s="463" t="s">
        <v>6034</v>
      </c>
      <c r="AQ919" s="993" t="s">
        <v>80</v>
      </c>
      <c r="AR919" s="463" t="s">
        <v>6198</v>
      </c>
      <c r="AS919" s="463" t="s">
        <v>6199</v>
      </c>
      <c r="AT919" s="463" t="s">
        <v>6199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46294</v>
      </c>
      <c r="AZ91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46297.291666666664</v>
      </c>
      <c r="BB919" s="989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991" t="str">
        <f>_xlfn.XLOOKUP(PV_DATA[[#This Row],[PORT DESTINATION]],Table12[PORT DESTINATION],Table12[Cosco Line],,0)</f>
        <v>AEU</v>
      </c>
    </row>
    <row r="920" spans="1:62" s="463" customFormat="1" ht="10.5" hidden="1">
      <c r="A920" s="463" t="s">
        <v>6200</v>
      </c>
      <c r="B920" s="463" t="s">
        <v>111</v>
      </c>
      <c r="C920" s="463" t="str">
        <f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5394</v>
      </c>
      <c r="L920" s="463">
        <v>3</v>
      </c>
      <c r="M920" s="463" t="s">
        <v>4962</v>
      </c>
      <c r="N920" s="714">
        <v>46202</v>
      </c>
      <c r="O920" s="463" t="s">
        <v>5374</v>
      </c>
      <c r="P920" s="463" t="s">
        <v>5395</v>
      </c>
      <c r="Q920" s="463" t="s">
        <v>5396</v>
      </c>
      <c r="R920" s="463" t="str">
        <f>_xlfn.XLOOKUP(PV_DATA[[#This Row],[New Ark SKU]],Table9[New Ark SKU],Table9[Connector],,0)</f>
        <v>EVO2A</v>
      </c>
      <c r="S920" s="989" t="str">
        <f>_xlfn.XLOOKUP(PV_DATA[[#This Row],[New Ark SKU]],Table9[New Ark SKU],Table9[Cable],,0)</f>
        <v>±1200mm</v>
      </c>
      <c r="T920" s="989">
        <v>465</v>
      </c>
      <c r="U920" s="1214">
        <v>1872</v>
      </c>
      <c r="V920" s="459">
        <f>PV_DATA[[#This Row],[QUANTITY]]*PV_DATA[[#This Row],[WATT]]/1000000</f>
        <v>0.87048000000000003</v>
      </c>
      <c r="W920" s="716">
        <f>PV_DATA[[#This Row],[QUANTITY]]/PV_DATA[[#This Row],[Qty/Pallet]]</f>
        <v>52</v>
      </c>
      <c r="X920" s="1112">
        <f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5848</v>
      </c>
      <c r="AB920" s="715">
        <v>46250</v>
      </c>
      <c r="AC920" s="990">
        <f>IF(PV_DATA[[#This Row],[Pick-Up Date]]&lt;&gt;"",_xlfn.ISOWEEKNUM(PV_DATA[[#This Row],[Pick-Up Date]]),"")</f>
        <v>33</v>
      </c>
      <c r="AD920" s="463" t="s">
        <v>6201</v>
      </c>
      <c r="AE920" s="463" t="s">
        <v>6201</v>
      </c>
      <c r="AF920" s="463" t="s">
        <v>122</v>
      </c>
      <c r="AG920" s="463" t="s">
        <v>123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2">
        <f>IFERROR(VLOOKUP(AT920, Vessel!A:H, 8, FALSE), "")</f>
        <v>46305.791666666664</v>
      </c>
      <c r="AN920" s="992" t="str">
        <f>IFERROR(IF(VLOOKUP(AT920,Vessel!A:I,9,FALSE)=0,"",VLOOKUP(AT920,Vessel!A:I,9,FALSE)),"")</f>
        <v/>
      </c>
      <c r="AP920" s="463" t="s">
        <v>6202</v>
      </c>
      <c r="AQ920" s="463" t="s">
        <v>80</v>
      </c>
      <c r="AR920" s="463" t="s">
        <v>6203</v>
      </c>
      <c r="AS920" s="463" t="s">
        <v>6204</v>
      </c>
      <c r="AT920" s="463" t="s">
        <v>6204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1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15">
        <f>IF(ISERROR(PV_DATA[[#This Row],[New Ark PO status]]),"",_xlfn.XLOOKUP(PV_DATA[[#This Row],[SPTN-PVHK New Ark PO'#]],New_Ark_Data[Purchase order Number],New_Ark_Data[Estimated time of arrival],"",0))</f>
        <v>46305</v>
      </c>
      <c r="AZ92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15">
        <f>IFERROR(PV_DATA[[#This Row],[ODP ETA Port]]+PV_DATA[[#This Row],[Customs/Leg3 Assumption]],"n/a")</f>
        <v>46305.791666666664</v>
      </c>
      <c r="BB920" s="989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 hidden="1">
      <c r="A921" s="994" t="s">
        <v>6205</v>
      </c>
      <c r="B921" s="988" t="s">
        <v>111</v>
      </c>
      <c r="C921" s="463" t="str">
        <f>IFERROR(LEFT(PV_DATA[[#This Row],[TCL REFERENCE]],FIND(".",PV_DATA[[#This Row],[TCL REFERENCE]],1)-1),"Main Line")</f>
        <v>26Aug010</v>
      </c>
      <c r="D921" s="988" t="s">
        <v>113</v>
      </c>
      <c r="E921" s="463" t="s">
        <v>144</v>
      </c>
      <c r="F921" s="988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6206</v>
      </c>
      <c r="J921" s="463" t="s">
        <v>670</v>
      </c>
      <c r="K921" s="463" t="s">
        <v>5887</v>
      </c>
      <c r="L921" s="988">
        <v>16</v>
      </c>
      <c r="M921" s="463" t="s">
        <v>4962</v>
      </c>
      <c r="N921" s="1161"/>
      <c r="O921" s="988" t="s">
        <v>4526</v>
      </c>
      <c r="P921" s="988" t="s">
        <v>6207</v>
      </c>
      <c r="Q921" s="988" t="s">
        <v>330</v>
      </c>
      <c r="R921" s="988" t="str">
        <f>_xlfn.XLOOKUP(PV_DATA[[#This Row],[New Ark SKU]],Table9[New Ark SKU],Table9[Connector],,0)</f>
        <v>H4(Com)</v>
      </c>
      <c r="S921" s="995" t="str">
        <f>_xlfn.XLOOKUP(PV_DATA[[#This Row],[New Ark SKU]],Table9[New Ark SKU],Table9[Cable],,0)</f>
        <v>+400mm/-200mm</v>
      </c>
      <c r="T921" s="995">
        <v>625</v>
      </c>
      <c r="U921" s="1217">
        <v>4320</v>
      </c>
      <c r="V921" s="996">
        <f>PV_DATA[[#This Row],[QUANTITY]]*PV_DATA[[#This Row],[WATT]]/1000000</f>
        <v>2.7</v>
      </c>
      <c r="W921" s="716">
        <f>PV_DATA[[#This Row],[QUANTITY]]/36</f>
        <v>120</v>
      </c>
      <c r="X921" s="1358">
        <f>PV_DATA[[#This Row],[QUANTITY]]/PV_DATA[[#This Row],[Qty/CT]]</f>
        <v>6</v>
      </c>
      <c r="Y921" s="463" t="s">
        <v>6208</v>
      </c>
      <c r="Z921" s="463" t="str">
        <f t="shared" si="13"/>
        <v>IN-TRANSIT</v>
      </c>
      <c r="AA921" s="1157">
        <v>46251</v>
      </c>
      <c r="AB921" s="1015">
        <v>46250</v>
      </c>
      <c r="AC921" s="1158">
        <f>IF(PV_DATA[[#This Row],[Pick-Up Date]]&lt;&gt;"",_xlfn.ISOWEEKNUM(PV_DATA[[#This Row],[Pick-Up Date]]),"")</f>
        <v>33</v>
      </c>
      <c r="AD921" s="988" t="s">
        <v>6209</v>
      </c>
      <c r="AE921" s="988" t="s">
        <v>6209</v>
      </c>
      <c r="AF921" s="988" t="s">
        <v>122</v>
      </c>
      <c r="AG921" s="988" t="s">
        <v>122</v>
      </c>
      <c r="AH921" s="463" t="s">
        <v>105</v>
      </c>
      <c r="AI921" s="715">
        <v>46256</v>
      </c>
      <c r="AJ921" s="715"/>
      <c r="AK921" s="715">
        <f>IFERROR(IF(VLOOKUP(AT921,Vessel!A:F,5,FALSE)=0,"",VLOOKUP(AT921,Vessel!A:F,5,FALSE)),"")</f>
        <v>46256.416493055556</v>
      </c>
      <c r="AL921" s="715">
        <v>46305</v>
      </c>
      <c r="AM921" s="992">
        <f>IFERROR(VLOOKUP(AT921, Vessel!A:H, 8, FALSE), "")</f>
        <v>46305.791666666664</v>
      </c>
      <c r="AN921" s="992" t="str">
        <f>IFERROR(IF(VLOOKUP(AT921,Vessel!A:I,9,FALSE)=0,"",VLOOKUP(AT921,Vessel!A:I,9,FALSE)),"")</f>
        <v/>
      </c>
      <c r="AO921" s="988"/>
      <c r="AP921" s="463" t="s">
        <v>6202</v>
      </c>
      <c r="AQ921" s="1014" t="s">
        <v>80</v>
      </c>
      <c r="AR921" s="463" t="s">
        <v>6210</v>
      </c>
      <c r="AS921" s="463" t="s">
        <v>6211</v>
      </c>
      <c r="AT921" s="463" t="s">
        <v>6204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88"/>
      <c r="AW921" s="1015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15">
        <f>IF(ISERROR(PV_DATA[[#This Row],[New Ark PO status]]),"",_xlfn.XLOOKUP(PV_DATA[[#This Row],[SPTN-PVHK New Ark PO'#]],New_Ark_Data[Purchase order Number],New_Ark_Data[Estimated time of arrival],"",0))</f>
        <v>46305</v>
      </c>
      <c r="AZ921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15">
        <f>IFERROR(PV_DATA[[#This Row],[ODP ETA Port]]+PV_DATA[[#This Row],[Customs/Leg3 Assumption]],"n/a")</f>
        <v>46305.791666666664</v>
      </c>
      <c r="BB921" s="995">
        <f>YEAR(PV_DATA[[#This Row],[ETA for New Ark update]])</f>
        <v>2026</v>
      </c>
      <c r="BC921" s="988">
        <f>MONTH(PV_DATA[[#This Row],[ETA for New Ark update]])</f>
        <v>10</v>
      </c>
      <c r="BD921" s="988">
        <f>IFERROR(_xlfn.ISOWEEKNUM(PV_DATA[[#This Row],[ETA for New Ark update]]),0)</f>
        <v>41</v>
      </c>
      <c r="BE921" s="988">
        <f>_xlfn.XLOOKUP(PV_DATA[[#This Row],[New Ark SKU]],Table9[New Ark SKU],Table9[Total PCS per Pallet],,0)</f>
        <v>36</v>
      </c>
      <c r="BF921" s="988">
        <f>_xlfn.XLOOKUP(PV_DATA[[#This Row],[New Ark SKU]],Table9[New Ark SKU],Table9[Total PCS per 40HQ Container],,0)</f>
        <v>720</v>
      </c>
      <c r="BG921" s="988" t="str">
        <f>_xlfn.XLOOKUP(PV_DATA[[#This Row],[New Ark SKU]],Table9[New Ark SKU],Table9[Back Glass],,0)</f>
        <v>Redirection Film</v>
      </c>
      <c r="BH921" s="1159" t="str">
        <f>_xlfn.XLOOKUP(PV_DATA[[#This Row],[PORT DESTINATION]],Table12[PORT DESTINATION],Table12[Cosco Line],,0)</f>
        <v>AEU</v>
      </c>
    </row>
    <row r="922" spans="1:62" ht="10.5" hidden="1">
      <c r="A922" s="463" t="s">
        <v>6212</v>
      </c>
      <c r="B922" s="463" t="s">
        <v>111</v>
      </c>
      <c r="C922" s="463" t="str">
        <f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4526</v>
      </c>
      <c r="P922" s="431" t="s">
        <v>4587</v>
      </c>
      <c r="Q922" s="431" t="s">
        <v>330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207">
        <f>720*1</f>
        <v>720</v>
      </c>
      <c r="V922" s="546">
        <f>PV_DATA[[#This Row],[QUANTITY]]*PV_DATA[[#This Row],[WATT]]/1000000</f>
        <v>0.45</v>
      </c>
      <c r="W922" s="436">
        <f>PV_DATA[[#This Row],[QUANTITY]]/PV_DATA[[#This Row],[Qty/Pallet]]</f>
        <v>20</v>
      </c>
      <c r="X922" s="1110">
        <f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5389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6213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438">
        <v>46298</v>
      </c>
      <c r="AM922" s="590"/>
      <c r="AN922" s="590"/>
      <c r="AP922" s="431" t="s">
        <v>632</v>
      </c>
      <c r="AQ922" s="1162" t="s">
        <v>161</v>
      </c>
      <c r="AR922" s="431" t="s">
        <v>6214</v>
      </c>
      <c r="AS922" s="431" t="s">
        <v>6215</v>
      </c>
      <c r="AT922" s="431" t="s">
        <v>6216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 hidden="1">
      <c r="A923" s="463" t="s">
        <v>6217</v>
      </c>
      <c r="B923" s="463" t="s">
        <v>111</v>
      </c>
      <c r="C923" s="463" t="str">
        <f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207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10">
        <f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5848</v>
      </c>
      <c r="AB923" s="438">
        <v>46255</v>
      </c>
      <c r="AC923" s="487">
        <f>IF(PV_DATA[[#This Row],[Pick-Up Date]]&lt;&gt;"",_xlfn.ISOWEEKNUM(PV_DATA[[#This Row],[Pick-Up Date]]),"")</f>
        <v>34</v>
      </c>
      <c r="AD923" s="431" t="s">
        <v>6218</v>
      </c>
      <c r="AE923" s="431"/>
      <c r="AF923" s="431" t="s">
        <v>122</v>
      </c>
      <c r="AG923" s="431" t="s">
        <v>123</v>
      </c>
      <c r="AH923" s="431" t="s">
        <v>105</v>
      </c>
      <c r="AI923" s="715">
        <v>46257</v>
      </c>
      <c r="AJ923" s="438">
        <v>46261</v>
      </c>
      <c r="AK923" s="438">
        <v>46259</v>
      </c>
      <c r="AL923" s="1272">
        <v>46298</v>
      </c>
      <c r="AM923" s="1381"/>
      <c r="AN923" s="590"/>
      <c r="AP923" s="431" t="s">
        <v>632</v>
      </c>
      <c r="AQ923" s="1162" t="s">
        <v>161</v>
      </c>
      <c r="AR923" s="431" t="s">
        <v>6214</v>
      </c>
      <c r="AS923" s="431" t="s">
        <v>6215</v>
      </c>
      <c r="AT923" s="431" t="s">
        <v>6219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 hidden="1">
      <c r="A924" s="994" t="s">
        <v>6220</v>
      </c>
      <c r="B924" s="988" t="s">
        <v>1757</v>
      </c>
      <c r="C924" s="988" t="str">
        <f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88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88"/>
      <c r="L924" s="988"/>
      <c r="M924" s="463" t="s">
        <v>68</v>
      </c>
      <c r="N924" s="714">
        <v>46230</v>
      </c>
      <c r="O924" s="463" t="s">
        <v>284</v>
      </c>
      <c r="P924" s="988" t="s">
        <v>5846</v>
      </c>
      <c r="Q924" s="988" t="s">
        <v>5847</v>
      </c>
      <c r="R924" s="988" t="str">
        <f>_xlfn.XLOOKUP(PV_DATA[[#This Row],[New Ark SKU]],Table9[New Ark SKU],Table9[Connector],,0)</f>
        <v>EVO2A</v>
      </c>
      <c r="S924" s="989" t="str">
        <f>_xlfn.XLOOKUP(PV_DATA[[#This Row],[New Ark SKU]],Table9[New Ark SKU],Table9[Cable],,0)</f>
        <v>±1200mm</v>
      </c>
      <c r="T924" s="995">
        <v>485</v>
      </c>
      <c r="U924" s="1217">
        <v>2808</v>
      </c>
      <c r="V924" s="1163">
        <f>PV_DATA[[#This Row],[QUANTITY]]*PV_DATA[[#This Row],[WATT]]/1000000</f>
        <v>1.36188</v>
      </c>
      <c r="W924" s="1164">
        <f>PV_DATA[[#This Row],[QUANTITY]]/36</f>
        <v>78</v>
      </c>
      <c r="X924" s="1112">
        <f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57">
        <v>46251</v>
      </c>
      <c r="AB924" s="1015">
        <v>46253</v>
      </c>
      <c r="AC924" s="1158">
        <f>IF(PV_DATA[[#This Row],[Pick-Up Date]]&lt;&gt;"",_xlfn.ISOWEEKNUM(PV_DATA[[#This Row],[Pick-Up Date]]),"")</f>
        <v>34</v>
      </c>
      <c r="AD924" s="988" t="s">
        <v>6221</v>
      </c>
      <c r="AE924" s="988" t="s">
        <v>6221</v>
      </c>
      <c r="AF924" s="463" t="s">
        <v>5850</v>
      </c>
      <c r="AG924" s="463" t="s">
        <v>123</v>
      </c>
      <c r="AH924" s="463" t="s">
        <v>105</v>
      </c>
      <c r="AI924" s="1015">
        <v>46257</v>
      </c>
      <c r="AJ924" s="1015">
        <v>46259</v>
      </c>
      <c r="AK924" s="438">
        <v>46259</v>
      </c>
      <c r="AL924" s="1274">
        <v>46298</v>
      </c>
      <c r="AM924" s="992"/>
      <c r="AN924" s="992"/>
      <c r="AO924" s="988"/>
      <c r="AP924" s="463" t="s">
        <v>6222</v>
      </c>
      <c r="AQ924" s="463" t="s">
        <v>161</v>
      </c>
      <c r="AR924" s="463" t="s">
        <v>6223</v>
      </c>
      <c r="AS924" s="463" t="s">
        <v>6224</v>
      </c>
      <c r="AT924" s="463" t="s">
        <v>6224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88"/>
      <c r="AW924" s="10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15">
        <f>IF(ISERROR(PV_DATA[[#This Row],[New Ark PO status]]),"",_xlfn.XLOOKUP(PV_DATA[[#This Row],[SPTN-PVHK New Ark PO'#]],New_Ark_Data[Purchase order Number],New_Ark_Data[Estimated time of arrival],"",0))</f>
        <v>46305</v>
      </c>
      <c r="AZ924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15">
        <f>IFERROR(PV_DATA[[#This Row],[ODP ETA Port]]+PV_DATA[[#This Row],[Customs/Leg3 Assumption]],"n/a")</f>
        <v>46305</v>
      </c>
      <c r="BB924" s="995">
        <f>YEAR(PV_DATA[[#This Row],[ETA for New Ark update]])</f>
        <v>2026</v>
      </c>
      <c r="BC924" s="988">
        <f>MONTH(PV_DATA[[#This Row],[ETA for New Ark update]])</f>
        <v>10</v>
      </c>
      <c r="BD924" s="988">
        <f>IFERROR(_xlfn.ISOWEEKNUM(PV_DATA[[#This Row],[ETA for New Ark update]]),0)</f>
        <v>41</v>
      </c>
      <c r="BE924" s="988">
        <f>_xlfn.XLOOKUP(PV_DATA[[#This Row],[New Ark SKU]],Table9[New Ark SKU],Table9[Total PCS per Pallet],,0)</f>
        <v>36</v>
      </c>
      <c r="BF924" s="988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159" t="str">
        <f>_xlfn.XLOOKUP(PV_DATA[[#This Row],[PORT DESTINATION]],Table12[PORT DESTINATION],Table12[Cosco Line],,0)</f>
        <v>AEU</v>
      </c>
    </row>
    <row r="925" spans="1:62" s="463" customFormat="1" ht="10.5" hidden="1">
      <c r="A925" s="731" t="s">
        <v>6225</v>
      </c>
      <c r="B925" s="463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8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 t="s">
        <v>6174</v>
      </c>
      <c r="O925" s="463" t="s">
        <v>284</v>
      </c>
      <c r="P925" s="463" t="s">
        <v>5846</v>
      </c>
      <c r="Q925" s="463" t="s">
        <v>5847</v>
      </c>
      <c r="R925" s="463" t="str">
        <f>_xlfn.XLOOKUP(PV_DATA[[#This Row],[New Ark SKU]],Table9[New Ark SKU],Table9[Connector],,0)</f>
        <v>EVO2A</v>
      </c>
      <c r="S925" s="989" t="str">
        <f>_xlfn.XLOOKUP(PV_DATA[[#This Row],[New Ark SKU]],Table9[New Ark SKU],Table9[Cable],,0)</f>
        <v>±1200mm</v>
      </c>
      <c r="T925" s="989">
        <v>485</v>
      </c>
      <c r="U925" s="1214">
        <v>1872</v>
      </c>
      <c r="V925" s="1165">
        <f>PV_DATA[[#This Row],[QUANTITY]]*PV_DATA[[#This Row],[WATT]]/1000000</f>
        <v>0.90791999999999995</v>
      </c>
      <c r="W925" s="1164">
        <f>PV_DATA[[#This Row],[QUANTITY]]/36</f>
        <v>52</v>
      </c>
      <c r="X925" s="1112">
        <f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60">
        <v>46250</v>
      </c>
      <c r="AB925" s="1015">
        <v>46253</v>
      </c>
      <c r="AC925" s="990">
        <f>IF(PV_DATA[[#This Row],[Pick-Up Date]]&lt;&gt;"",_xlfn.ISOWEEKNUM(PV_DATA[[#This Row],[Pick-Up Date]]),"")</f>
        <v>34</v>
      </c>
      <c r="AD925" s="463" t="s">
        <v>6226</v>
      </c>
      <c r="AE925" s="463" t="s">
        <v>6226</v>
      </c>
      <c r="AF925" s="463" t="s">
        <v>5850</v>
      </c>
      <c r="AG925" s="463" t="s">
        <v>123</v>
      </c>
      <c r="AH925" s="463" t="s">
        <v>105</v>
      </c>
      <c r="AI925" s="715">
        <v>46257</v>
      </c>
      <c r="AJ925" s="1015">
        <v>46259</v>
      </c>
      <c r="AK925" s="438">
        <v>46259</v>
      </c>
      <c r="AL925" s="1274">
        <v>46298</v>
      </c>
      <c r="AM925" s="992"/>
      <c r="AN925" s="992"/>
      <c r="AP925" s="463" t="s">
        <v>6222</v>
      </c>
      <c r="AQ925" s="993" t="s">
        <v>161</v>
      </c>
      <c r="AR925" s="463" t="s">
        <v>6223</v>
      </c>
      <c r="AS925" s="463" t="s">
        <v>6224</v>
      </c>
      <c r="AT925" s="463" t="s">
        <v>6224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46305</v>
      </c>
      <c r="BB925" s="989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91" t="str">
        <f>_xlfn.XLOOKUP(PV_DATA[[#This Row],[PORT DESTINATION]],Table12[PORT DESTINATION],Table12[Cosco Line],,0)</f>
        <v>AEU</v>
      </c>
    </row>
    <row r="926" spans="1:62" s="463" customFormat="1" ht="10.5" hidden="1">
      <c r="A926" s="994" t="s">
        <v>6227</v>
      </c>
      <c r="B926" s="988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>
        <v>46230</v>
      </c>
      <c r="O926" s="463" t="s">
        <v>284</v>
      </c>
      <c r="P926" s="988" t="s">
        <v>5846</v>
      </c>
      <c r="Q926" s="988" t="s">
        <v>5847</v>
      </c>
      <c r="R926" s="463" t="str">
        <f>_xlfn.XLOOKUP(PV_DATA[[#This Row],[New Ark SKU]],Table9[New Ark SKU],Table9[Connector],,0)</f>
        <v>EVO2A</v>
      </c>
      <c r="S926" s="989" t="str">
        <f>_xlfn.XLOOKUP(PV_DATA[[#This Row],[New Ark SKU]],Table9[New Ark SKU],Table9[Cable],,0)</f>
        <v>±1200mm</v>
      </c>
      <c r="T926" s="995">
        <v>485</v>
      </c>
      <c r="U926" s="1217">
        <v>2808</v>
      </c>
      <c r="V926" s="1165">
        <f>PV_DATA[[#This Row],[QUANTITY]]*PV_DATA[[#This Row],[WATT]]/1000000</f>
        <v>1.36188</v>
      </c>
      <c r="W926" s="1166">
        <f>PV_DATA[[#This Row],[QUANTITY]]/PV_DATA[[#This Row],[Qty/Pallet]]</f>
        <v>78</v>
      </c>
      <c r="X926" s="1112">
        <f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57">
        <v>46249</v>
      </c>
      <c r="AB926" s="1015">
        <v>46253</v>
      </c>
      <c r="AC926" s="990">
        <f>IF(PV_DATA[[#This Row],[Pick-Up Date]]&lt;&gt;"",_xlfn.ISOWEEKNUM(PV_DATA[[#This Row],[Pick-Up Date]]),"")</f>
        <v>34</v>
      </c>
      <c r="AD926" s="463" t="s">
        <v>6228</v>
      </c>
      <c r="AE926" s="463" t="s">
        <v>6228</v>
      </c>
      <c r="AF926" s="463" t="s">
        <v>5850</v>
      </c>
      <c r="AG926" s="463" t="s">
        <v>123</v>
      </c>
      <c r="AH926" s="463" t="s">
        <v>105</v>
      </c>
      <c r="AI926" s="715">
        <v>46257</v>
      </c>
      <c r="AJ926" s="1015">
        <v>46259</v>
      </c>
      <c r="AK926" s="438">
        <v>46259</v>
      </c>
      <c r="AL926" s="1274">
        <v>46298</v>
      </c>
      <c r="AM926" s="992"/>
      <c r="AN926" s="992"/>
      <c r="AP926" s="463" t="s">
        <v>6222</v>
      </c>
      <c r="AQ926" s="993" t="s">
        <v>161</v>
      </c>
      <c r="AR926" s="463" t="s">
        <v>6223</v>
      </c>
      <c r="AS926" s="463" t="s">
        <v>6224</v>
      </c>
      <c r="AT926" s="463" t="s">
        <v>6229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46305</v>
      </c>
      <c r="BB926" s="989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91" t="str">
        <f>_xlfn.XLOOKUP(PV_DATA[[#This Row],[PORT DESTINATION]],Table12[PORT DESTINATION],Table12[Cosco Line],,0)</f>
        <v>AEU</v>
      </c>
    </row>
    <row r="927" spans="1:62" s="463" customFormat="1" ht="10.5" hidden="1">
      <c r="A927" s="731" t="s">
        <v>6230</v>
      </c>
      <c r="B927" s="463" t="s">
        <v>1757</v>
      </c>
      <c r="C927" s="463" t="str">
        <f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88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14" t="s">
        <v>6174</v>
      </c>
      <c r="O927" s="463" t="s">
        <v>284</v>
      </c>
      <c r="P927" s="463" t="s">
        <v>5846</v>
      </c>
      <c r="Q927" s="463" t="s">
        <v>5847</v>
      </c>
      <c r="R927" s="463" t="str">
        <f>_xlfn.XLOOKUP(PV_DATA[[#This Row],[New Ark SKU]],Table9[New Ark SKU],Table9[Connector],,0)</f>
        <v>EVO2A</v>
      </c>
      <c r="S927" s="989" t="str">
        <f>_xlfn.XLOOKUP(PV_DATA[[#This Row],[New Ark SKU]],Table9[New Ark SKU],Table9[Cable],,0)</f>
        <v>±1200mm</v>
      </c>
      <c r="T927" s="989">
        <v>485</v>
      </c>
      <c r="U927" s="1214">
        <v>1872</v>
      </c>
      <c r="V927" s="1165">
        <f>PV_DATA[[#This Row],[QUANTITY]]*PV_DATA[[#This Row],[WATT]]/1000000</f>
        <v>0.90791999999999995</v>
      </c>
      <c r="W927" s="1164">
        <f>PV_DATA[[#This Row],[QUANTITY]]/36</f>
        <v>52</v>
      </c>
      <c r="X927" s="1112">
        <f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60">
        <v>46250</v>
      </c>
      <c r="AB927" s="1015">
        <v>46253</v>
      </c>
      <c r="AC927" s="990">
        <f>IF(PV_DATA[[#This Row],[Pick-Up Date]]&lt;&gt;"",_xlfn.ISOWEEKNUM(PV_DATA[[#This Row],[Pick-Up Date]]),"")</f>
        <v>34</v>
      </c>
      <c r="AD927" s="463" t="s">
        <v>6231</v>
      </c>
      <c r="AE927" s="463" t="s">
        <v>6231</v>
      </c>
      <c r="AF927" s="463" t="s">
        <v>5850</v>
      </c>
      <c r="AG927" s="463" t="s">
        <v>123</v>
      </c>
      <c r="AH927" s="463" t="s">
        <v>105</v>
      </c>
      <c r="AI927" s="715">
        <v>46257</v>
      </c>
      <c r="AJ927" s="1015">
        <v>46259</v>
      </c>
      <c r="AK927" s="438">
        <v>46259</v>
      </c>
      <c r="AL927" s="1274">
        <v>46298</v>
      </c>
      <c r="AM927" s="992"/>
      <c r="AN927" s="992"/>
      <c r="AP927" s="463" t="s">
        <v>6222</v>
      </c>
      <c r="AQ927" s="993" t="s">
        <v>161</v>
      </c>
      <c r="AR927" s="463" t="s">
        <v>6223</v>
      </c>
      <c r="AS927" s="463" t="s">
        <v>6224</v>
      </c>
      <c r="AT927" s="463" t="s">
        <v>6229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1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15">
        <f>IF(ISERROR(PV_DATA[[#This Row],[New Ark PO status]]),"",_xlfn.XLOOKUP(PV_DATA[[#This Row],[SPTN-PVHK New Ark PO'#]],New_Ark_Data[Purchase order Number],New_Ark_Data[Estimated time of arrival],"",0))</f>
        <v>46305</v>
      </c>
      <c r="AZ92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15">
        <f>IFERROR(PV_DATA[[#This Row],[ODP ETA Port]]+PV_DATA[[#This Row],[Customs/Leg3 Assumption]],"n/a")</f>
        <v>46305</v>
      </c>
      <c r="BB927" s="989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991" t="str">
        <f>_xlfn.XLOOKUP(PV_DATA[[#This Row],[PORT DESTINATION]],Table12[PORT DESTINATION],Table12[Cosco Line],,0)</f>
        <v>AEU</v>
      </c>
    </row>
    <row r="928" spans="1:62" s="463" customFormat="1" ht="10.5" hidden="1">
      <c r="A928" s="994" t="s">
        <v>6232</v>
      </c>
      <c r="B928" s="988" t="s">
        <v>111</v>
      </c>
      <c r="C928" s="463" t="str">
        <f>IFERROR(LEFT(PV_DATA[[#This Row],[TCL REFERENCE]],FIND(".",PV_DATA[[#This Row],[TCL REFERENCE]],1)-1),"Main Line")</f>
        <v>26Aug010</v>
      </c>
      <c r="D928" s="988" t="s">
        <v>113</v>
      </c>
      <c r="E928" s="463" t="s">
        <v>144</v>
      </c>
      <c r="F928" s="988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6206</v>
      </c>
      <c r="J928" s="463" t="s">
        <v>670</v>
      </c>
      <c r="K928" s="463" t="s">
        <v>5887</v>
      </c>
      <c r="L928" s="988">
        <v>10</v>
      </c>
      <c r="M928" s="463" t="s">
        <v>4962</v>
      </c>
      <c r="N928" s="1161"/>
      <c r="O928" s="988" t="s">
        <v>4526</v>
      </c>
      <c r="P928" s="988" t="s">
        <v>6207</v>
      </c>
      <c r="Q928" s="988" t="s">
        <v>330</v>
      </c>
      <c r="R928" s="988" t="str">
        <f>_xlfn.XLOOKUP(PV_DATA[[#This Row],[New Ark SKU]],Table9[New Ark SKU],Table9[Connector],,0)</f>
        <v>H4(Com)</v>
      </c>
      <c r="S928" s="995" t="str">
        <f>_xlfn.XLOOKUP(PV_DATA[[#This Row],[New Ark SKU]],Table9[New Ark SKU],Table9[Cable],,0)</f>
        <v>+400mm/-200mm</v>
      </c>
      <c r="T928" s="995">
        <v>625</v>
      </c>
      <c r="U928" s="1217">
        <f>720*5</f>
        <v>3600</v>
      </c>
      <c r="V928" s="996">
        <f>PV_DATA[[#This Row],[QUANTITY]]*PV_DATA[[#This Row],[WATT]]/1000000</f>
        <v>2.25</v>
      </c>
      <c r="W928" s="716">
        <f>PV_DATA[[#This Row],[QUANTITY]]/36</f>
        <v>100</v>
      </c>
      <c r="X928" s="1358">
        <f>PV_DATA[[#This Row],[QUANTITY]]/PV_DATA[[#This Row],[Qty/CT]]</f>
        <v>5</v>
      </c>
      <c r="Y928" s="463" t="s">
        <v>6233</v>
      </c>
      <c r="Z928" s="463" t="str">
        <f t="shared" si="13"/>
        <v>IN-TRANSIT</v>
      </c>
      <c r="AA928" s="1157">
        <v>46251</v>
      </c>
      <c r="AB928" s="1015">
        <v>46253</v>
      </c>
      <c r="AC928" s="1158">
        <f>IF(PV_DATA[[#This Row],[Pick-Up Date]]&lt;&gt;"",_xlfn.ISOWEEKNUM(PV_DATA[[#This Row],[Pick-Up Date]]),"")</f>
        <v>34</v>
      </c>
      <c r="AD928" s="988" t="s">
        <v>6234</v>
      </c>
      <c r="AE928" s="988" t="s">
        <v>6234</v>
      </c>
      <c r="AF928" s="988" t="s">
        <v>122</v>
      </c>
      <c r="AG928" s="988" t="s">
        <v>122</v>
      </c>
      <c r="AH928" s="463" t="s">
        <v>105</v>
      </c>
      <c r="AI928" s="1015">
        <v>46257</v>
      </c>
      <c r="AJ928" s="715">
        <v>46259</v>
      </c>
      <c r="AK928" s="438">
        <v>46259</v>
      </c>
      <c r="AL928" s="1015">
        <v>46298</v>
      </c>
      <c r="AM928" s="992"/>
      <c r="AN928" s="992"/>
      <c r="AO928" s="988"/>
      <c r="AP928" s="988" t="s">
        <v>6222</v>
      </c>
      <c r="AQ928" s="1014" t="s">
        <v>161</v>
      </c>
      <c r="AR928" s="988" t="s">
        <v>6235</v>
      </c>
      <c r="AS928" s="988" t="s">
        <v>6236</v>
      </c>
      <c r="AT928" s="463" t="s">
        <v>6236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88"/>
      <c r="AW928" s="10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15">
        <f>IF(ISERROR(PV_DATA[[#This Row],[New Ark PO status]]),"",_xlfn.XLOOKUP(PV_DATA[[#This Row],[SPTN-PVHK New Ark PO'#]],New_Ark_Data[Purchase order Number],New_Ark_Data[Estimated time of arrival],"",0))</f>
        <v>46298</v>
      </c>
      <c r="AZ928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15">
        <f>IFERROR(PV_DATA[[#This Row],[ODP ETA Port]]+PV_DATA[[#This Row],[Customs/Leg3 Assumption]],"n/a")</f>
        <v>46298</v>
      </c>
      <c r="BB928" s="995">
        <f>YEAR(PV_DATA[[#This Row],[ETA for New Ark update]])</f>
        <v>2026</v>
      </c>
      <c r="BC928" s="988">
        <f>MONTH(PV_DATA[[#This Row],[ETA for New Ark update]])</f>
        <v>10</v>
      </c>
      <c r="BD928" s="988">
        <f>IFERROR(_xlfn.ISOWEEKNUM(PV_DATA[[#This Row],[ETA for New Ark update]]),0)</f>
        <v>40</v>
      </c>
      <c r="BE928" s="988">
        <f>_xlfn.XLOOKUP(PV_DATA[[#This Row],[New Ark SKU]],Table9[New Ark SKU],Table9[Total PCS per Pallet],,0)</f>
        <v>36</v>
      </c>
      <c r="BF928" s="988">
        <f>_xlfn.XLOOKUP(PV_DATA[[#This Row],[New Ark SKU]],Table9[New Ark SKU],Table9[Total PCS per 40HQ Container],,0)</f>
        <v>720</v>
      </c>
      <c r="BG928" s="988" t="str">
        <f>_xlfn.XLOOKUP(PV_DATA[[#This Row],[New Ark SKU]],Table9[New Ark SKU],Table9[Back Glass],,0)</f>
        <v>Redirection Film</v>
      </c>
      <c r="BH928" s="1159" t="str">
        <f>_xlfn.XLOOKUP(PV_DATA[[#This Row],[PORT DESTINATION]],Table12[PORT DESTINATION],Table12[Cosco Line],,0)</f>
        <v>AEU</v>
      </c>
    </row>
    <row r="929" spans="1:62" s="463" customFormat="1" ht="10.5" hidden="1">
      <c r="A929" s="994" t="s">
        <v>6237</v>
      </c>
      <c r="B929" s="988" t="s">
        <v>111</v>
      </c>
      <c r="C929" s="463" t="str">
        <f>IFERROR(LEFT(PV_DATA[[#This Row],[TCL REFERENCE]],FIND(".",PV_DATA[[#This Row],[TCL REFERENCE]],1)-1),"Main Line")</f>
        <v>26Aug010</v>
      </c>
      <c r="D929" s="988" t="s">
        <v>113</v>
      </c>
      <c r="E929" s="463" t="s">
        <v>144</v>
      </c>
      <c r="F929" s="988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6206</v>
      </c>
      <c r="J929" s="463" t="s">
        <v>670</v>
      </c>
      <c r="K929" s="463" t="s">
        <v>6238</v>
      </c>
      <c r="L929" s="988">
        <v>11</v>
      </c>
      <c r="M929" s="463" t="s">
        <v>4962</v>
      </c>
      <c r="N929" s="1161"/>
      <c r="O929" s="988" t="s">
        <v>4526</v>
      </c>
      <c r="P929" s="988" t="s">
        <v>6207</v>
      </c>
      <c r="Q929" s="988" t="s">
        <v>330</v>
      </c>
      <c r="R929" s="988" t="str">
        <f>_xlfn.XLOOKUP(PV_DATA[[#This Row],[New Ark SKU]],Table9[New Ark SKU],Table9[Connector],,0)</f>
        <v>H4(Com)</v>
      </c>
      <c r="S929" s="995" t="str">
        <f>_xlfn.XLOOKUP(PV_DATA[[#This Row],[New Ark SKU]],Table9[New Ark SKU],Table9[Cable],,0)</f>
        <v>+400mm/-200mm</v>
      </c>
      <c r="T929" s="995">
        <v>625</v>
      </c>
      <c r="U929" s="1217">
        <f>720*5</f>
        <v>3600</v>
      </c>
      <c r="V929" s="996">
        <f>PV_DATA[[#This Row],[QUANTITY]]*PV_DATA[[#This Row],[WATT]]/1000000</f>
        <v>2.25</v>
      </c>
      <c r="W929" s="716">
        <f>PV_DATA[[#This Row],[QUANTITY]]/36</f>
        <v>100</v>
      </c>
      <c r="X929" s="1358">
        <f>PV_DATA[[#This Row],[QUANTITY]]/PV_DATA[[#This Row],[Qty/CT]]</f>
        <v>5</v>
      </c>
      <c r="Y929" s="463" t="s">
        <v>6233</v>
      </c>
      <c r="Z929" s="463" t="str">
        <f t="shared" si="13"/>
        <v>IN-TRANSIT</v>
      </c>
      <c r="AA929" s="1157">
        <v>46251</v>
      </c>
      <c r="AB929" s="1015">
        <v>46254</v>
      </c>
      <c r="AC929" s="1158">
        <f>IF(PV_DATA[[#This Row],[Pick-Up Date]]&lt;&gt;"",_xlfn.ISOWEEKNUM(PV_DATA[[#This Row],[Pick-Up Date]]),"")</f>
        <v>34</v>
      </c>
      <c r="AD929" s="988" t="s">
        <v>6239</v>
      </c>
      <c r="AE929" s="988" t="s">
        <v>6239</v>
      </c>
      <c r="AF929" s="988" t="s">
        <v>122</v>
      </c>
      <c r="AG929" s="988" t="s">
        <v>122</v>
      </c>
      <c r="AH929" s="463" t="s">
        <v>105</v>
      </c>
      <c r="AI929" s="715">
        <v>46257</v>
      </c>
      <c r="AJ929" s="715">
        <v>46259</v>
      </c>
      <c r="AK929" s="438">
        <v>46259</v>
      </c>
      <c r="AL929" s="715">
        <v>46298</v>
      </c>
      <c r="AM929" s="992"/>
      <c r="AN929" s="992"/>
      <c r="AP929" s="463" t="s">
        <v>632</v>
      </c>
      <c r="AQ929" s="1014" t="s">
        <v>161</v>
      </c>
      <c r="AR929" s="463" t="s">
        <v>6235</v>
      </c>
      <c r="AS929" s="463" t="s">
        <v>6236</v>
      </c>
      <c r="AT929" s="463" t="s">
        <v>6240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1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15">
        <f>IF(ISERROR(PV_DATA[[#This Row],[New Ark PO status]]),"",_xlfn.XLOOKUP(PV_DATA[[#This Row],[SPTN-PVHK New Ark PO'#]],New_Ark_Data[Purchase order Number],New_Ark_Data[Estimated time of arrival],"",0))</f>
        <v>46298</v>
      </c>
      <c r="AZ92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15">
        <f>IFERROR(PV_DATA[[#This Row],[ODP ETA Port]]+PV_DATA[[#This Row],[Customs/Leg3 Assumption]],"n/a")</f>
        <v>46298</v>
      </c>
      <c r="BB929" s="989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991" t="str">
        <f>_xlfn.XLOOKUP(PV_DATA[[#This Row],[PORT DESTINATION]],Table12[PORT DESTINATION],Table12[Cosco Line],,0)</f>
        <v>AEU</v>
      </c>
    </row>
    <row r="930" spans="1:62" ht="10.5" hidden="1">
      <c r="A930" s="463" t="s">
        <v>6241</v>
      </c>
      <c r="B930" s="463" t="s">
        <v>111</v>
      </c>
      <c r="C930" s="463" t="str">
        <f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207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10">
        <f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7">
        <f>IF(PV_DATA[[#This Row],[Pick-Up Date]]&lt;&gt;"",_xlfn.ISOWEEKNUM(PV_DATA[[#This Row],[Pick-Up Date]]),"")</f>
        <v>34</v>
      </c>
      <c r="AD930" s="431" t="s">
        <v>6242</v>
      </c>
      <c r="AE930" s="431"/>
      <c r="AF930" s="431" t="s">
        <v>122</v>
      </c>
      <c r="AG930" s="431" t="s">
        <v>123</v>
      </c>
      <c r="AH930" s="431" t="s">
        <v>78</v>
      </c>
      <c r="AI930" s="715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0">
        <f>IFERROR(VLOOKUP(AT930, Vessel!A:H, 8, FALSE), "")</f>
        <v>46321.791666666664</v>
      </c>
      <c r="AN930" s="590" t="str">
        <f>IFERROR(IF(VLOOKUP(AT930,Vessel!A:I,9,FALSE)=0,"",VLOOKUP(AT930,Vessel!A:I,9,FALSE)),"")</f>
        <v/>
      </c>
      <c r="AP930" s="431" t="s">
        <v>6243</v>
      </c>
      <c r="AQ930" s="439" t="s">
        <v>80</v>
      </c>
      <c r="AR930" s="431" t="s">
        <v>6244</v>
      </c>
      <c r="AS930" s="431" t="s">
        <v>6245</v>
      </c>
      <c r="AT930" s="431" t="s">
        <v>6245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52.69447916666104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46329.791666666664</v>
      </c>
      <c r="BB930" s="434">
        <f>YEAR(PV_DATA[[#This Row],[ETA for New Ark update]])</f>
        <v>2026</v>
      </c>
      <c r="BC930" s="431">
        <f>MONTH(PV_DATA[[#This Row],[ETA for New Ark update]])</f>
        <v>11</v>
      </c>
      <c r="BD930" s="431">
        <f>IFERROR(_xlfn.ISOWEEKNUM(PV_DATA[[#This Row],[ETA for New Ark update]]),0)</f>
        <v>45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 hidden="1">
      <c r="A931" s="463" t="s">
        <v>6246</v>
      </c>
      <c r="B931" s="463" t="s">
        <v>1757</v>
      </c>
      <c r="C931" s="463" t="str">
        <f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6172</v>
      </c>
      <c r="I931" s="463" t="s">
        <v>1395</v>
      </c>
      <c r="J931" s="431" t="s">
        <v>6172</v>
      </c>
      <c r="K931" s="431" t="s">
        <v>6173</v>
      </c>
      <c r="L931" s="431">
        <v>5</v>
      </c>
      <c r="M931" s="431" t="s">
        <v>6247</v>
      </c>
      <c r="N931" s="433" t="s">
        <v>6174</v>
      </c>
      <c r="O931" s="431" t="s">
        <v>284</v>
      </c>
      <c r="P931" s="431" t="s">
        <v>5846</v>
      </c>
      <c r="Q931" s="431" t="s">
        <v>5847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207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10">
        <f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5848</v>
      </c>
      <c r="AB931" s="1168">
        <v>46264</v>
      </c>
      <c r="AC931" s="487">
        <f>IF(PV_DATA[[#This Row],[Pick-Up Date]]&lt;&gt;"",_xlfn.ISOWEEKNUM(PV_DATA[[#This Row],[Pick-Up Date]]),"")</f>
        <v>35</v>
      </c>
      <c r="AD931" s="431" t="s">
        <v>6248</v>
      </c>
      <c r="AE931" s="431"/>
      <c r="AF931" s="431" t="s">
        <v>1525</v>
      </c>
      <c r="AG931" s="431" t="s">
        <v>5992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72">
        <v>46304</v>
      </c>
      <c r="AN931" s="590" t="str">
        <f>IFERROR(IF(VLOOKUP(AT931,Vessel!A:I,9,FALSE)=0,"",VLOOKUP(AT931,Vessel!A:I,9,FALSE)),"")</f>
        <v/>
      </c>
      <c r="AP931" s="431" t="s">
        <v>6249</v>
      </c>
      <c r="AQ931" s="431" t="s">
        <v>80</v>
      </c>
      <c r="AR931" s="431" t="s">
        <v>6250</v>
      </c>
      <c r="AS931" s="431" t="s">
        <v>6251</v>
      </c>
      <c r="AT931" s="431" t="s">
        <v>6251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 hidden="1">
      <c r="A932" s="732" t="s">
        <v>6252</v>
      </c>
      <c r="B932" s="463" t="s">
        <v>111</v>
      </c>
      <c r="C932" s="463" t="str">
        <f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5374</v>
      </c>
      <c r="P932" s="431" t="s">
        <v>6253</v>
      </c>
      <c r="Q932" s="431" t="s">
        <v>6254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207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10">
        <f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6255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M932" s="590"/>
      <c r="AN932" s="590"/>
      <c r="AP932" s="431" t="s">
        <v>6081</v>
      </c>
      <c r="AQ932" s="439" t="s">
        <v>161</v>
      </c>
      <c r="AR932" s="431" t="s">
        <v>6256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732" t="s">
        <v>6257</v>
      </c>
      <c r="B933" s="463" t="s">
        <v>111</v>
      </c>
      <c r="C933" s="463" t="str">
        <f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5374</v>
      </c>
      <c r="P933" s="431" t="s">
        <v>5730</v>
      </c>
      <c r="Q933" s="431" t="s">
        <v>5731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207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10">
        <f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7">
        <f>IF(PV_DATA[[#This Row],[Pick-Up Date]]&lt;&gt;"",_xlfn.ISOWEEKNUM(PV_DATA[[#This Row],[Pick-Up Date]]),"")</f>
        <v>35</v>
      </c>
      <c r="AD933" s="431" t="s">
        <v>6258</v>
      </c>
      <c r="AE933" s="431"/>
      <c r="AF933" s="431" t="s">
        <v>122</v>
      </c>
      <c r="AG933" s="431" t="s">
        <v>123</v>
      </c>
      <c r="AH933" s="431" t="s">
        <v>78</v>
      </c>
      <c r="AI933" s="715">
        <v>46256</v>
      </c>
      <c r="AJ933" s="438">
        <v>46265</v>
      </c>
      <c r="AK933" s="438">
        <v>46265</v>
      </c>
      <c r="AL933" s="438">
        <v>46302</v>
      </c>
      <c r="AN933" s="590"/>
      <c r="AP933" s="431" t="s">
        <v>6081</v>
      </c>
      <c r="AQ933" s="439" t="s">
        <v>161</v>
      </c>
      <c r="AR933" s="431" t="s">
        <v>6256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6259</v>
      </c>
      <c r="B934" s="463" t="s">
        <v>111</v>
      </c>
      <c r="C934" s="463" t="str">
        <f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5331</v>
      </c>
      <c r="P934" s="431" t="s">
        <v>5550</v>
      </c>
      <c r="Q934" s="431" t="s">
        <v>5551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207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10">
        <f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5645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6260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46324.625</v>
      </c>
      <c r="AN934" s="590" t="str">
        <f>IFERROR(IF(VLOOKUP(AT934,Vessel!A:I,9,FALSE)=0,"",VLOOKUP(AT934,Vessel!A:I,9,FALSE)),"")</f>
        <v/>
      </c>
      <c r="AP934" s="431" t="s">
        <v>6243</v>
      </c>
      <c r="AQ934" s="439" t="s">
        <v>80</v>
      </c>
      <c r="AR934" s="431" t="s">
        <v>6261</v>
      </c>
      <c r="AS934" s="431" t="s">
        <v>6262</v>
      </c>
      <c r="AT934" s="431" t="s">
        <v>6262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46333.625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6263</v>
      </c>
      <c r="B935" s="463" t="s">
        <v>111</v>
      </c>
      <c r="C935" s="463" t="str">
        <f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5331</v>
      </c>
      <c r="P935" s="431" t="s">
        <v>5332</v>
      </c>
      <c r="Q935" s="431" t="s">
        <v>5333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215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10">
        <f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7">
        <v>46206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6264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0">
        <f>IFERROR(VLOOKUP(AT935, Vessel!A:H, 8, FALSE), "")</f>
        <v>46324.625</v>
      </c>
      <c r="AN935" s="590" t="str">
        <f>IFERROR(IF(VLOOKUP(AT935,Vessel!A:I,9,FALSE)=0,"",VLOOKUP(AT935,Vessel!A:I,9,FALSE)),"")</f>
        <v/>
      </c>
      <c r="AP935" s="431" t="s">
        <v>6243</v>
      </c>
      <c r="AQ935" s="439" t="s">
        <v>80</v>
      </c>
      <c r="AR935" s="431" t="s">
        <v>6261</v>
      </c>
      <c r="AS935" s="431" t="s">
        <v>6262</v>
      </c>
      <c r="AT935" s="431" t="s">
        <v>6262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46333.625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 hidden="1">
      <c r="A936" s="463" t="s">
        <v>6265</v>
      </c>
      <c r="B936" s="463" t="s">
        <v>111</v>
      </c>
      <c r="C936" s="463" t="str">
        <f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207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10">
        <f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5848</v>
      </c>
      <c r="AB936" s="438">
        <v>46256</v>
      </c>
      <c r="AC936" s="487">
        <f>IF(PV_DATA[[#This Row],[Pick-Up Date]]&lt;&gt;"",_xlfn.ISOWEEKNUM(PV_DATA[[#This Row],[Pick-Up Date]]),"")</f>
        <v>34</v>
      </c>
      <c r="AD936" s="431" t="s">
        <v>6266</v>
      </c>
      <c r="AE936" s="431"/>
      <c r="AF936" s="431" t="s">
        <v>122</v>
      </c>
      <c r="AG936" s="431" t="s">
        <v>123</v>
      </c>
      <c r="AH936" s="431" t="s">
        <v>124</v>
      </c>
      <c r="AI936" s="715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0">
        <v>46317</v>
      </c>
      <c r="AM936" s="1385">
        <f>IFERROR(VLOOKUP(AT936, Vessel!A:H, 8, FALSE), "")</f>
        <v>46324.625</v>
      </c>
      <c r="AN936" s="590" t="str">
        <f>IFERROR(IF(VLOOKUP(AT936,Vessel!A:I,9,FALSE)=0,"",VLOOKUP(AT936,Vessel!A:I,9,FALSE)),"")</f>
        <v/>
      </c>
      <c r="AP936" s="431" t="s">
        <v>6243</v>
      </c>
      <c r="AQ936" s="439" t="s">
        <v>80</v>
      </c>
      <c r="AR936" s="431" t="s">
        <v>6261</v>
      </c>
      <c r="AS936" s="431" t="s">
        <v>6262</v>
      </c>
      <c r="AT936" s="431" t="s">
        <v>6262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46333.625</v>
      </c>
      <c r="BB936" s="434">
        <f>YEAR(PV_DATA[[#This Row],[ETA for New Ark update]])</f>
        <v>2026</v>
      </c>
      <c r="BC936" s="431">
        <f>MONTH(PV_DATA[[#This Row],[ETA for New Ark update]])</f>
        <v>11</v>
      </c>
      <c r="BD936" s="431">
        <f>IFERROR(_xlfn.ISOWEEKNUM(PV_DATA[[#This Row],[ETA for New Ark update]]),0)</f>
        <v>45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 hidden="1">
      <c r="A937" s="731" t="s">
        <v>6267</v>
      </c>
      <c r="B937" s="988" t="s">
        <v>111</v>
      </c>
      <c r="C937" s="988" t="str">
        <f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14">
        <v>46215</v>
      </c>
      <c r="O937" s="988" t="s">
        <v>550</v>
      </c>
      <c r="P937" s="988" t="s">
        <v>2134</v>
      </c>
      <c r="Q937" s="988" t="s">
        <v>2135</v>
      </c>
      <c r="R937" s="988" t="str">
        <f>_xlfn.XLOOKUP(PV_DATA[[#This Row],[New Ark SKU]],Table9[New Ark SKU],Table9[Connector],,0)</f>
        <v>EVO2A</v>
      </c>
      <c r="S937" s="989" t="str">
        <f>_xlfn.XLOOKUP(PV_DATA[[#This Row],[New Ark SKU]],Table9[New Ark SKU],Table9[Cable],,0)</f>
        <v>±1350mm</v>
      </c>
      <c r="T937" s="995">
        <v>515</v>
      </c>
      <c r="U937" s="1214">
        <f>792*2</f>
        <v>1584</v>
      </c>
      <c r="V937" s="996">
        <f>PV_DATA[[#This Row],[QUANTITY]]*PV_DATA[[#This Row],[WATT]]/1000000</f>
        <v>0.81576000000000004</v>
      </c>
      <c r="W937" s="997">
        <f>PV_DATA[[#This Row],[QUANTITY]]/PV_DATA[[#This Row],[Qty/Pallet]]</f>
        <v>44</v>
      </c>
      <c r="X937" s="1112">
        <f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25" t="s">
        <v>5848</v>
      </c>
      <c r="AB937" s="1015">
        <v>46252</v>
      </c>
      <c r="AC937" s="1158">
        <f>IF(PV_DATA[[#This Row],[Pick-Up Date]]&lt;&gt;"",_xlfn.ISOWEEKNUM(PV_DATA[[#This Row],[Pick-Up Date]]),"")</f>
        <v>34</v>
      </c>
      <c r="AD937" s="988" t="s">
        <v>6268</v>
      </c>
      <c r="AE937" s="988" t="s">
        <v>6268</v>
      </c>
      <c r="AF937" s="988" t="s">
        <v>122</v>
      </c>
      <c r="AG937" s="988" t="s">
        <v>123</v>
      </c>
      <c r="AH937" s="463" t="s">
        <v>1561</v>
      </c>
      <c r="AI937" s="1015">
        <v>46262</v>
      </c>
      <c r="AJ937" s="715">
        <f>IFERROR(VLOOKUP(AT937, Vessel!A:D, 4, FALSE), "")</f>
        <v>46266.083333333336</v>
      </c>
      <c r="AK937" s="438">
        <v>46266</v>
      </c>
      <c r="AL937" s="992">
        <v>46318</v>
      </c>
      <c r="AM937" s="1384"/>
      <c r="AN937" s="992"/>
      <c r="AO937" s="988"/>
      <c r="AP937" s="988" t="s">
        <v>6269</v>
      </c>
      <c r="AQ937" s="1014" t="s">
        <v>80</v>
      </c>
      <c r="AR937" s="988" t="s">
        <v>6270</v>
      </c>
      <c r="AS937" s="988" t="s">
        <v>6271</v>
      </c>
      <c r="AT937" s="463" t="s">
        <v>6271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88"/>
      <c r="AW937" s="1015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15">
        <f>IF(ISERROR(PV_DATA[[#This Row],[New Ark PO status]]),"",_xlfn.XLOOKUP(PV_DATA[[#This Row],[SPTN-PVHK New Ark PO'#]],New_Ark_Data[Purchase order Number],New_Ark_Data[Estimated time of arrival],"",0))</f>
        <v>46321</v>
      </c>
      <c r="AZ937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15">
        <f>IFERROR(PV_DATA[[#This Row],[ODP ETA Port]]+PV_DATA[[#This Row],[Customs/Leg3 Assumption]],"n/a")</f>
        <v>46328</v>
      </c>
      <c r="BB937" s="995">
        <f>YEAR(PV_DATA[[#This Row],[ETA for New Ark update]])</f>
        <v>2026</v>
      </c>
      <c r="BC937" s="988">
        <f>MONTH(PV_DATA[[#This Row],[ETA for New Ark update]])</f>
        <v>11</v>
      </c>
      <c r="BD937" s="988">
        <f>IFERROR(_xlfn.ISOWEEKNUM(PV_DATA[[#This Row],[ETA for New Ark update]]),0)</f>
        <v>45</v>
      </c>
      <c r="BE937" s="988">
        <f>_xlfn.XLOOKUP(PV_DATA[[#This Row],[New Ark SKU]],Table9[New Ark SKU],Table9[Total PCS per Pallet],,0)</f>
        <v>36</v>
      </c>
      <c r="BF937" s="988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159" t="str">
        <f>_xlfn.XLOOKUP(PV_DATA[[#This Row],[PORT DESTINATION]],Table12[PORT DESTINATION],Table12[Cosco Line],,0)</f>
        <v>AEM</v>
      </c>
    </row>
    <row r="938" spans="1:62" s="432" customFormat="1" ht="10.5" hidden="1">
      <c r="A938" s="1263" t="s">
        <v>6272</v>
      </c>
      <c r="B938" s="728" t="s">
        <v>111</v>
      </c>
      <c r="C938" s="440" t="str">
        <f>IFERROR(LEFT(PV_DATA[[#This Row],[TCL REFERENCE]],FIND(".",PV_DATA[[#This Row],[TCL REFERENCE]],1)-1),"Main Line")</f>
        <v>26Aug002</v>
      </c>
      <c r="D938" s="728" t="s">
        <v>63</v>
      </c>
      <c r="E938" s="440" t="s">
        <v>64</v>
      </c>
      <c r="F938" s="72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1"/>
      <c r="M938" s="432" t="s">
        <v>6273</v>
      </c>
      <c r="N938" s="632">
        <v>46215</v>
      </c>
      <c r="O938" s="621" t="s">
        <v>550</v>
      </c>
      <c r="P938" s="621" t="s">
        <v>2134</v>
      </c>
      <c r="Q938" s="621" t="s">
        <v>2135</v>
      </c>
      <c r="R938" s="621" t="str">
        <f>_xlfn.XLOOKUP(PV_DATA[[#This Row],[New Ark SKU]],Table9[New Ark SKU],Table9[Connector],,0)</f>
        <v>EVO2A</v>
      </c>
      <c r="S938" s="622" t="str">
        <f>_xlfn.XLOOKUP(PV_DATA[[#This Row],[New Ark SKU]],Table9[New Ark SKU],Table9[Cable],,0)</f>
        <v>±1350mm</v>
      </c>
      <c r="T938" s="622">
        <v>515</v>
      </c>
      <c r="U938" s="1212">
        <v>792</v>
      </c>
      <c r="V938" s="626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18">
        <f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1" t="s">
        <v>5848</v>
      </c>
      <c r="AB938" s="922">
        <v>46267</v>
      </c>
      <c r="AC938" s="629">
        <f>IF(PV_DATA[[#This Row],[Pick-Up Date]]&lt;&gt;"",_xlfn.ISOWEEKNUM(PV_DATA[[#This Row],[Pick-Up Date]]),"")</f>
        <v>36</v>
      </c>
      <c r="AD938" s="621" t="s">
        <v>6274</v>
      </c>
      <c r="AE938" s="621"/>
      <c r="AF938" s="621" t="s">
        <v>1525</v>
      </c>
      <c r="AG938" s="621" t="s">
        <v>5992</v>
      </c>
      <c r="AH938" s="448" t="s">
        <v>1561</v>
      </c>
      <c r="AI938" s="628">
        <v>46263</v>
      </c>
      <c r="AJ938" s="628">
        <v>46271</v>
      </c>
      <c r="AK938" s="438">
        <f>IFERROR(IF(VLOOKUP(AT938,Vessel!A:F,5,FALSE)=0,"",VLOOKUP(AT938,Vessel!A:F,5,FALSE)),"")</f>
        <v>46270.981307870374</v>
      </c>
      <c r="AL938" s="628">
        <v>46318</v>
      </c>
      <c r="AM938" s="1386"/>
      <c r="AN938" s="588"/>
      <c r="AO938" s="621"/>
      <c r="AP938" s="621" t="s">
        <v>6275</v>
      </c>
      <c r="AQ938" s="630" t="s">
        <v>80</v>
      </c>
      <c r="AR938" s="728" t="s">
        <v>6276</v>
      </c>
      <c r="AS938" s="621" t="s">
        <v>6277</v>
      </c>
      <c r="AT938" s="432" t="s">
        <v>6277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1"/>
      <c r="AW938" s="62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28" t="str">
        <f>IF(ISERROR(PV_DATA[[#This Row],[New Ark PO status]]),"",_xlfn.XLOOKUP(PV_DATA[[#This Row],[SPTN-PVHK New Ark PO'#]],New_Ark_Data[Purchase order Number],New_Ark_Data[Estimated time of arrival],"",0))</f>
        <v/>
      </c>
      <c r="AZ938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28">
        <f>IFERROR(PV_DATA[[#This Row],[ODP ETA Port]]+PV_DATA[[#This Row],[Customs/Leg3 Assumption]],"n/a")</f>
        <v>46328</v>
      </c>
      <c r="BB938" s="622">
        <f>YEAR(PV_DATA[[#This Row],[ETA for New Ark update]])</f>
        <v>2026</v>
      </c>
      <c r="BC938" s="621">
        <f>MONTH(PV_DATA[[#This Row],[ETA for New Ark update]])</f>
        <v>11</v>
      </c>
      <c r="BD938" s="621">
        <f>IFERROR(_xlfn.ISOWEEKNUM(PV_DATA[[#This Row],[ETA for New Ark update]]),0)</f>
        <v>45</v>
      </c>
      <c r="BE938" s="621">
        <f>_xlfn.XLOOKUP(PV_DATA[[#This Row],[New Ark SKU]],Table9[New Ark SKU],Table9[Total PCS per Pallet],,0)</f>
        <v>36</v>
      </c>
      <c r="BF938" s="621">
        <f>_xlfn.XLOOKUP(PV_DATA[[#This Row],[New Ark SKU]],Table9[New Ark SKU],Table9[Total PCS per 40HQ Container],,0)</f>
        <v>792</v>
      </c>
      <c r="BG938" s="621" t="str">
        <f>_xlfn.XLOOKUP(PV_DATA[[#This Row],[New Ark SKU]],Table9[New Ark SKU],Table9[Back Glass],,0)</f>
        <v>Black glazing</v>
      </c>
      <c r="BH938" s="631" t="str">
        <f>_xlfn.XLOOKUP(PV_DATA[[#This Row],[PORT DESTINATION]],Table12[PORT DESTINATION],Table12[Cosco Line],,0)</f>
        <v>AEM</v>
      </c>
    </row>
    <row r="939" spans="1:62" ht="10.5" hidden="1">
      <c r="A939" s="994" t="s">
        <v>6278</v>
      </c>
      <c r="B939" s="988" t="s">
        <v>1757</v>
      </c>
      <c r="C939" s="988" t="str">
        <f>IFERROR(LEFT(PV_DATA[[#This Row],[TCL REFERENCE]],FIND(".",PV_DATA[[#This Row],[TCL REFERENCE]],1)-1),"Main Line")</f>
        <v>26Aug008</v>
      </c>
      <c r="D939" s="988" t="s">
        <v>63</v>
      </c>
      <c r="E939" s="463" t="s">
        <v>144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6279</v>
      </c>
      <c r="I939" s="463" t="s">
        <v>1395</v>
      </c>
      <c r="J939" s="431" t="s">
        <v>6280</v>
      </c>
      <c r="K939" s="431" t="s">
        <v>6281</v>
      </c>
      <c r="L939" s="431">
        <v>1</v>
      </c>
      <c r="M939" s="431" t="s">
        <v>840</v>
      </c>
      <c r="N939" s="433" t="s">
        <v>6174</v>
      </c>
      <c r="O939" s="625" t="s">
        <v>284</v>
      </c>
      <c r="P939" s="625" t="s">
        <v>6181</v>
      </c>
      <c r="Q939" s="625" t="s">
        <v>6182</v>
      </c>
      <c r="R939" s="612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21">
        <v>490</v>
      </c>
      <c r="U939" s="1219">
        <f>936*1</f>
        <v>936</v>
      </c>
      <c r="V939" s="1022">
        <f>PV_DATA[[#This Row],[QUANTITY]]*PV_DATA[[#This Row],[WATT]]/1000000</f>
        <v>0.45863999999999999</v>
      </c>
      <c r="W939" s="1026">
        <f>PV_DATA[[#This Row],[QUANTITY]]/36</f>
        <v>26</v>
      </c>
      <c r="X939" s="1110">
        <f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69" t="s">
        <v>5848</v>
      </c>
      <c r="AB939" s="545">
        <v>46264</v>
      </c>
      <c r="AC939" s="487">
        <f>IF(PV_DATA[[#This Row],[Pick-Up Date]]&lt;&gt;"",_xlfn.ISOWEEKNUM(PV_DATA[[#This Row],[Pick-Up Date]]),"")</f>
        <v>35</v>
      </c>
      <c r="AD939" s="625" t="s">
        <v>6282</v>
      </c>
      <c r="AE939" s="625"/>
      <c r="AF939" s="1170" t="s">
        <v>1525</v>
      </c>
      <c r="AG939" s="431" t="s">
        <v>5992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72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6283</v>
      </c>
      <c r="AQ939" s="431" t="s">
        <v>80</v>
      </c>
      <c r="AR939" s="463" t="s">
        <v>6284</v>
      </c>
      <c r="AS939" s="431" t="s">
        <v>6285</v>
      </c>
      <c r="AT939" s="431" t="s">
        <v>6285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46308.625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42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2" t="str">
        <f>_xlfn.XLOOKUP(PV_DATA[[#This Row],[New Ark SKU]],Table9[New Ark SKU],Table9[Back Glass],,0)</f>
        <v>Black glazing</v>
      </c>
      <c r="BH939" s="1024" t="str">
        <f>_xlfn.XLOOKUP(PV_DATA[[#This Row],[PORT DESTINATION]],Table12[PORT DESTINATION],Table12[Cosco Line],,0)</f>
        <v>AEU</v>
      </c>
      <c r="BJ939" s="431"/>
    </row>
    <row r="940" spans="1:62" ht="10.5" hidden="1">
      <c r="A940" s="994" t="s">
        <v>6286</v>
      </c>
      <c r="B940" s="988" t="s">
        <v>1757</v>
      </c>
      <c r="C940" s="463" t="str">
        <f>IFERROR(LEFT(PV_DATA[[#This Row],[TCL REFERENCE]],FIND(".",PV_DATA[[#This Row],[TCL REFERENCE]],1)-1),"Main Line")</f>
        <v>26Aug008</v>
      </c>
      <c r="D940" s="988" t="s">
        <v>63</v>
      </c>
      <c r="E940" s="988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88" t="s">
        <v>402</v>
      </c>
      <c r="H940" s="463" t="s">
        <v>451</v>
      </c>
      <c r="I940" s="463" t="s">
        <v>1395</v>
      </c>
      <c r="J940" s="625" t="s">
        <v>6287</v>
      </c>
      <c r="K940" s="431"/>
      <c r="L940" s="433"/>
      <c r="M940" s="431" t="s">
        <v>68</v>
      </c>
      <c r="N940" s="433" t="s">
        <v>6174</v>
      </c>
      <c r="O940" s="625" t="s">
        <v>284</v>
      </c>
      <c r="P940" s="625" t="s">
        <v>6181</v>
      </c>
      <c r="Q940" s="625" t="s">
        <v>6182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21">
        <v>490</v>
      </c>
      <c r="U940" s="1219">
        <v>1872</v>
      </c>
      <c r="V940" s="1022">
        <f>PV_DATA[[#This Row],[QUANTITY]]*PV_DATA[[#This Row],[WATT]]/1000000</f>
        <v>0.91727999999999998</v>
      </c>
      <c r="W940" s="1026">
        <f>PV_DATA[[#This Row],[QUANTITY]]/36</f>
        <v>52</v>
      </c>
      <c r="X940" s="1110">
        <f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69" t="s">
        <v>5848</v>
      </c>
      <c r="AB940" s="545">
        <v>46264</v>
      </c>
      <c r="AC940" s="487">
        <f>IF(PV_DATA[[#This Row],[Pick-Up Date]]&lt;&gt;"",_xlfn.ISOWEEKNUM(PV_DATA[[#This Row],[Pick-Up Date]]),"")</f>
        <v>35</v>
      </c>
      <c r="AD940" s="431" t="s">
        <v>6288</v>
      </c>
      <c r="AE940" s="431"/>
      <c r="AF940" s="431" t="s">
        <v>1525</v>
      </c>
      <c r="AG940" s="431" t="s">
        <v>5992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72">
        <v>46299</v>
      </c>
      <c r="AM940" s="590">
        <f>IFERROR(VLOOKUP(AT940, Vessel!A:H, 8, FALSE), "")</f>
        <v>46308.625</v>
      </c>
      <c r="AN940" s="590" t="str">
        <f>IFERROR(IF(VLOOKUP(AT940,Vessel!A:I,9,FALSE)=0,"",VLOOKUP(AT940,Vessel!A:I,9,FALSE)),"")</f>
        <v/>
      </c>
      <c r="AO940" s="439"/>
      <c r="AP940" s="431" t="s">
        <v>6283</v>
      </c>
      <c r="AQ940" s="431" t="s">
        <v>80</v>
      </c>
      <c r="AR940" s="463" t="s">
        <v>6289</v>
      </c>
      <c r="AS940" s="431" t="s">
        <v>6290</v>
      </c>
      <c r="AT940" s="431" t="s">
        <v>6290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46315.625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43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2" t="str">
        <f>_xlfn.XLOOKUP(PV_DATA[[#This Row],[PORT DESTINATION]],Table12[PORT DESTINATION],Table12[Cosco Line],,0)</f>
        <v>AEU</v>
      </c>
      <c r="BJ940" s="431"/>
    </row>
    <row r="941" spans="1:62" s="463" customFormat="1" ht="10.5" hidden="1">
      <c r="A941" s="731" t="s">
        <v>6291</v>
      </c>
      <c r="B941" s="988" t="s">
        <v>111</v>
      </c>
      <c r="C941" s="988" t="str">
        <f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6273</v>
      </c>
      <c r="N941" s="714">
        <v>46215</v>
      </c>
      <c r="O941" s="988" t="s">
        <v>550</v>
      </c>
      <c r="P941" s="988" t="s">
        <v>2134</v>
      </c>
      <c r="Q941" s="988" t="s">
        <v>2135</v>
      </c>
      <c r="R941" s="988" t="str">
        <f>_xlfn.XLOOKUP(PV_DATA[[#This Row],[New Ark SKU]],Table9[New Ark SKU],Table9[Connector],,0)</f>
        <v>EVO2A</v>
      </c>
      <c r="S941" s="989" t="str">
        <f>_xlfn.XLOOKUP(PV_DATA[[#This Row],[New Ark SKU]],Table9[New Ark SKU],Table9[Cable],,0)</f>
        <v>±1350mm</v>
      </c>
      <c r="T941" s="995">
        <v>515</v>
      </c>
      <c r="U941" s="1214">
        <v>792</v>
      </c>
      <c r="V941" s="996">
        <f>PV_DATA[[#This Row],[QUANTITY]]*PV_DATA[[#This Row],[WATT]]/1000000</f>
        <v>0.40788000000000002</v>
      </c>
      <c r="W941" s="997">
        <f>PV_DATA[[#This Row],[QUANTITY]]/PV_DATA[[#This Row],[Qty/Pallet]]</f>
        <v>22</v>
      </c>
      <c r="X941" s="1112">
        <f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25" t="s">
        <v>5848</v>
      </c>
      <c r="AB941" s="1015">
        <v>46252</v>
      </c>
      <c r="AC941" s="1158">
        <f>IF(PV_DATA[[#This Row],[Pick-Up Date]]&lt;&gt;"",_xlfn.ISOWEEKNUM(PV_DATA[[#This Row],[Pick-Up Date]]),"")</f>
        <v>34</v>
      </c>
      <c r="AD941" s="988" t="s">
        <v>6292</v>
      </c>
      <c r="AE941" s="988" t="s">
        <v>6292</v>
      </c>
      <c r="AF941" s="463" t="s">
        <v>1525</v>
      </c>
      <c r="AG941" s="463" t="s">
        <v>5992</v>
      </c>
      <c r="AH941" s="463" t="s">
        <v>1561</v>
      </c>
      <c r="AI941" s="1015">
        <v>46254</v>
      </c>
      <c r="AJ941" s="715">
        <f>IFERROR(VLOOKUP(AT941, Vessel!A:D, 4, FALSE), "")</f>
        <v>46257.291666666664</v>
      </c>
      <c r="AK941" s="715">
        <f>IFERROR(IF(VLOOKUP(AT941,Vessel!A:F,5,FALSE)=0,"",VLOOKUP(AT941,Vessel!A:F,5,FALSE)),"")</f>
        <v>46257.156030092592</v>
      </c>
      <c r="AL941" s="1273">
        <v>46308</v>
      </c>
      <c r="AM941" s="1382"/>
      <c r="AN941" s="992"/>
      <c r="AO941" s="988"/>
      <c r="AP941" s="988" t="s">
        <v>6097</v>
      </c>
      <c r="AQ941" s="993" t="s">
        <v>80</v>
      </c>
      <c r="AR941" s="988" t="s">
        <v>6293</v>
      </c>
      <c r="AS941" s="988" t="s">
        <v>6294</v>
      </c>
      <c r="AT941" s="463" t="s">
        <v>6294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88"/>
      <c r="AW941" s="101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15">
        <f>IF(ISERROR(PV_DATA[[#This Row],[New Ark PO status]]),"",_xlfn.XLOOKUP(PV_DATA[[#This Row],[SPTN-PVHK New Ark PO'#]],New_Ark_Data[Purchase order Number],New_Ark_Data[Estimated time of arrival],"",0))</f>
        <v>46310</v>
      </c>
      <c r="AZ941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15">
        <f>IFERROR(PV_DATA[[#This Row],[ODP ETA Port]]+PV_DATA[[#This Row],[Customs/Leg3 Assumption]],"n/a")</f>
        <v>46318</v>
      </c>
      <c r="BB941" s="995">
        <f>YEAR(PV_DATA[[#This Row],[ETA for New Ark update]])</f>
        <v>2026</v>
      </c>
      <c r="BC941" s="988">
        <f>MONTH(PV_DATA[[#This Row],[ETA for New Ark update]])</f>
        <v>10</v>
      </c>
      <c r="BD941" s="988">
        <f>IFERROR(_xlfn.ISOWEEKNUM(PV_DATA[[#This Row],[ETA for New Ark update]]),0)</f>
        <v>43</v>
      </c>
      <c r="BE941" s="988">
        <f>_xlfn.XLOOKUP(PV_DATA[[#This Row],[New Ark SKU]],Table9[New Ark SKU],Table9[Total PCS per Pallet],,0)</f>
        <v>36</v>
      </c>
      <c r="BF941" s="988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159" t="str">
        <f>_xlfn.XLOOKUP(PV_DATA[[#This Row],[PORT DESTINATION]],Table12[PORT DESTINATION],Table12[Cosco Line],,0)</f>
        <v>AEM</v>
      </c>
    </row>
    <row r="942" spans="1:62" ht="10.5" hidden="1">
      <c r="A942" s="463" t="s">
        <v>6295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4959</v>
      </c>
      <c r="I942" s="463" t="s">
        <v>1395</v>
      </c>
      <c r="J942" s="463" t="s">
        <v>4959</v>
      </c>
      <c r="K942" s="431" t="s">
        <v>6296</v>
      </c>
      <c r="L942" s="431">
        <v>1</v>
      </c>
      <c r="M942" s="431" t="s">
        <v>6247</v>
      </c>
      <c r="N942" s="433">
        <v>46209</v>
      </c>
      <c r="O942" s="431" t="s">
        <v>4526</v>
      </c>
      <c r="P942" s="431" t="s">
        <v>1151</v>
      </c>
      <c r="Q942" s="431" t="s">
        <v>421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207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10">
        <f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7">
        <f>IF(PV_DATA[[#This Row],[Pick-Up Date]]&lt;&gt;"",_xlfn.ISOWEEKNUM(PV_DATA[[#This Row],[Pick-Up Date]]),"")</f>
        <v>36</v>
      </c>
      <c r="AD942" s="431" t="s">
        <v>6297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0">
        <f>IFERROR(VLOOKUP(AT942, Vessel!A:H, 8, FALSE), "")</f>
        <v>46317.75</v>
      </c>
      <c r="AN942" s="590" t="str">
        <f>IFERROR(IF(VLOOKUP(AT942,Vessel!A:I,9,FALSE)=0,"",VLOOKUP(AT942,Vessel!A:I,9,FALSE)),"")</f>
        <v/>
      </c>
      <c r="AP942" s="431" t="s">
        <v>6065</v>
      </c>
      <c r="AQ942" s="431" t="s">
        <v>80</v>
      </c>
      <c r="AR942" s="431" t="s">
        <v>6298</v>
      </c>
      <c r="AS942" s="431" t="s">
        <v>6299</v>
      </c>
      <c r="AT942" s="431" t="s">
        <v>6299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47.687858796292858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9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46317.75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43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6300</v>
      </c>
      <c r="B943" s="463" t="s">
        <v>1757</v>
      </c>
      <c r="C943" s="463" t="str">
        <f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4959</v>
      </c>
      <c r="I943" s="463" t="s">
        <v>1395</v>
      </c>
      <c r="J943" s="463" t="s">
        <v>4959</v>
      </c>
      <c r="K943" s="463" t="s">
        <v>6296</v>
      </c>
      <c r="L943" s="463">
        <v>5</v>
      </c>
      <c r="M943" s="463" t="s">
        <v>6247</v>
      </c>
      <c r="N943" s="714">
        <v>46209</v>
      </c>
      <c r="O943" s="463" t="s">
        <v>4526</v>
      </c>
      <c r="P943" s="463" t="s">
        <v>1151</v>
      </c>
      <c r="Q943" s="463" t="s">
        <v>421</v>
      </c>
      <c r="R943" s="463" t="str">
        <f>_xlfn.XLOOKUP(PV_DATA[[#This Row],[New Ark SKU]],Table9[New Ark SKU],Table9[Connector],,0)</f>
        <v>EVO2A</v>
      </c>
      <c r="S943" s="989" t="str">
        <f>_xlfn.XLOOKUP(PV_DATA[[#This Row],[New Ark SKU]],Table9[New Ark SKU],Table9[Cable],,0)</f>
        <v>±1200mm</v>
      </c>
      <c r="T943" s="989">
        <v>505</v>
      </c>
      <c r="U943" s="1214">
        <v>864</v>
      </c>
      <c r="V943" s="459">
        <f>PV_DATA[[#This Row],[QUANTITY]]*PV_DATA[[#This Row],[WATT]]/1000000</f>
        <v>0.43631999999999999</v>
      </c>
      <c r="W943" s="716">
        <f>PV_DATA[[#This Row],[QUANTITY]]/PV_DATA[[#This Row],[Qty/Pallet]]</f>
        <v>24</v>
      </c>
      <c r="X943" s="1112">
        <f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15">
        <v>46245</v>
      </c>
      <c r="AC943" s="990">
        <f>IF(PV_DATA[[#This Row],[Pick-Up Date]]&lt;&gt;"",_xlfn.ISOWEEKNUM(PV_DATA[[#This Row],[Pick-Up Date]]),"")</f>
        <v>33</v>
      </c>
      <c r="AD943" s="463" t="s">
        <v>6301</v>
      </c>
      <c r="AF943" s="463" t="s">
        <v>1525</v>
      </c>
      <c r="AG943" s="463" t="s">
        <v>1525</v>
      </c>
      <c r="AH943" s="463" t="s">
        <v>78</v>
      </c>
      <c r="AI943" s="715">
        <v>46251</v>
      </c>
      <c r="AJ943" s="715"/>
      <c r="AK943" s="715">
        <f>IFERROR(IF(VLOOKUP(AT943,Vessel!A:F,5,FALSE)=0,"",VLOOKUP(AT943,Vessel!A:F,5,FALSE)),"")</f>
        <v>46254.01357638889</v>
      </c>
      <c r="AL943" s="715">
        <v>46295</v>
      </c>
      <c r="AM943" s="992">
        <f>IFERROR(VLOOKUP(AT943, Vessel!A:H, 8, FALSE), "")</f>
        <v>46297.75</v>
      </c>
      <c r="AN943" s="992" t="str">
        <f>IFERROR(IF(VLOOKUP(AT943,Vessel!A:I,9,FALSE)=0,"",VLOOKUP(AT943,Vessel!A:I,9,FALSE)),"")</f>
        <v/>
      </c>
      <c r="AP943" s="463" t="s">
        <v>6302</v>
      </c>
      <c r="AQ943" s="463" t="s">
        <v>80</v>
      </c>
      <c r="AR943" s="988" t="s">
        <v>6303</v>
      </c>
      <c r="AS943" s="463" t="s">
        <v>6304</v>
      </c>
      <c r="AT943" s="463" t="s">
        <v>6304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943" s="71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9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15">
        <f>IF(ISERROR(PV_DATA[[#This Row],[New Ark PO status]]),"",_xlfn.XLOOKUP(PV_DATA[[#This Row],[SPTN-PVHK New Ark PO'#]],New_Ark_Data[Purchase order Number],New_Ark_Data[Estimated time of arrival],"",0))</f>
        <v>46295</v>
      </c>
      <c r="AZ94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15">
        <f>IFERROR(PV_DATA[[#This Row],[ODP ETA Port]]+PV_DATA[[#This Row],[Customs/Leg3 Assumption]],"n/a")</f>
        <v>46297.75</v>
      </c>
      <c r="BB943" s="989">
        <f>YEAR(PV_DATA[[#This Row],[ETA for New Ark update]])</f>
        <v>2026</v>
      </c>
      <c r="BC943" s="463">
        <f>MONTH(PV_DATA[[#This Row],[ETA for New Ark update]])</f>
        <v>10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 hidden="1">
      <c r="A944" s="448" t="s">
        <v>6305</v>
      </c>
      <c r="B944" s="440" t="s">
        <v>1757</v>
      </c>
      <c r="C944" s="440" t="str">
        <f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6273</v>
      </c>
      <c r="N944" s="462">
        <v>46195</v>
      </c>
      <c r="O944" s="432" t="s">
        <v>4526</v>
      </c>
      <c r="P944" s="432" t="s">
        <v>71</v>
      </c>
      <c r="Q944" s="432" t="s">
        <v>72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212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14">
        <f>PV_DATA[[#This Row],[QUANTITY]]/PV_DATA[[#This Row],[Qty/CT]]</f>
        <v>1</v>
      </c>
      <c r="Y944" s="432" t="s">
        <v>2461</v>
      </c>
      <c r="Z944" s="431" t="str">
        <f t="shared" si="14"/>
        <v>IN-TRANSIT</v>
      </c>
      <c r="AA944" s="432" t="s">
        <v>5625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 t="s">
        <v>6306</v>
      </c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46275</v>
      </c>
      <c r="AK944" s="438">
        <f>IFERROR(IF(VLOOKUP(AT944,Vessel!A:F,5,FALSE)=0,"",VLOOKUP(AT944,Vessel!A:F,5,FALSE)),"")</f>
        <v>46275.042812500003</v>
      </c>
      <c r="AL944" s="442">
        <v>46314</v>
      </c>
      <c r="AM944" s="620">
        <f>IFERROR(VLOOKUP(AT944, Vessel!A:H, 8, FALSE), "")</f>
        <v>46321.791666666664</v>
      </c>
      <c r="AN944" s="588" t="str">
        <f>IFERROR(IF(VLOOKUP(AT944,Vessel!A:I,9,FALSE)=0,"",VLOOKUP(AT944,Vessel!A:I,9,FALSE)),"")</f>
        <v/>
      </c>
      <c r="AO944" s="432"/>
      <c r="AP944" s="432" t="s">
        <v>6307</v>
      </c>
      <c r="AQ944" s="432" t="s">
        <v>80</v>
      </c>
      <c r="AR944" s="432" t="s">
        <v>6308</v>
      </c>
      <c r="AS944" s="432" t="s">
        <v>6309</v>
      </c>
      <c r="AT944" s="432" t="s">
        <v>6309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46.748854166660749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>IF(ISERROR(PV_DATA[[#This Row],[New Ark PO status]]),"",_xlfn.XLOOKUP(PV_DATA[[#This Row],[SPTN-PVHK New Ark PO'#]],New_Ark_Data[Purchase order Number],New_Ark_Data[Estimated time of arrival],"",0))</f>
        <v/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46329.791666666664</v>
      </c>
      <c r="BB944" s="443">
        <f>YEAR(PV_DATA[[#This Row],[ETA for New Ark update]])</f>
        <v>2026</v>
      </c>
      <c r="BC944" s="432">
        <f>MONTH(PV_DATA[[#This Row],[ETA for New Ark update]])</f>
        <v>11</v>
      </c>
      <c r="BD944" s="432">
        <f>IFERROR(_xlfn.ISOWEEKNUM(PV_DATA[[#This Row],[ETA for New Ark update]]),0)</f>
        <v>45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customHeight="1">
      <c r="A945" s="463" t="s">
        <v>6310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8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88" t="s">
        <v>402</v>
      </c>
      <c r="H945" s="463" t="s">
        <v>6172</v>
      </c>
      <c r="I945" s="463" t="s">
        <v>689</v>
      </c>
      <c r="J945" s="431" t="s">
        <v>6172</v>
      </c>
      <c r="K945" s="431" t="s">
        <v>6196</v>
      </c>
      <c r="L945" s="431">
        <v>7</v>
      </c>
      <c r="M945" s="431" t="s">
        <v>840</v>
      </c>
      <c r="N945" s="433" t="s">
        <v>6174</v>
      </c>
      <c r="O945" s="431" t="s">
        <v>284</v>
      </c>
      <c r="P945" s="431" t="s">
        <v>5846</v>
      </c>
      <c r="Q945" s="431" t="s">
        <v>5847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207">
        <v>1872</v>
      </c>
      <c r="V945" s="435">
        <f>PV_DATA[[#This Row],[QUANTITY]]*PV_DATA[[#This Row],[WATT]]/1000000</f>
        <v>0.90791999999999995</v>
      </c>
      <c r="W945" s="1026">
        <f>PV_DATA[[#This Row],[QUANTITY]]/36</f>
        <v>52</v>
      </c>
      <c r="X945" s="1110">
        <f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7">
        <v>46255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6311</v>
      </c>
      <c r="AE945" s="431"/>
      <c r="AF945" s="431" t="s">
        <v>1525</v>
      </c>
      <c r="AG945" s="431" t="s">
        <v>5992</v>
      </c>
      <c r="AH945" s="431" t="s">
        <v>456</v>
      </c>
      <c r="AI945" s="715">
        <v>46259</v>
      </c>
      <c r="AK945" s="438">
        <f>IFERROR(IF(VLOOKUP(AT945,Vessel!A:F,5,FALSE)=0,"",VLOOKUP(AT945,Vessel!A:F,5,FALSE)),"")</f>
        <v>46260.478738425925</v>
      </c>
      <c r="AL945" s="1272">
        <v>46296</v>
      </c>
      <c r="AN945" s="590" t="str">
        <f>IFERROR(IF(VLOOKUP(AT945,Vessel!A:I,9,FALSE)=0,"",VLOOKUP(AT945,Vessel!A:I,9,FALSE)),"")</f>
        <v/>
      </c>
      <c r="AP945" s="431" t="s">
        <v>6312</v>
      </c>
      <c r="AQ945" s="431" t="s">
        <v>80</v>
      </c>
      <c r="AR945" s="431" t="s">
        <v>6313</v>
      </c>
      <c r="AS945" s="431" t="s">
        <v>6314</v>
      </c>
      <c r="AT945" s="431" t="s">
        <v>6314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6315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6172</v>
      </c>
      <c r="I946" s="463" t="s">
        <v>1395</v>
      </c>
      <c r="J946" s="431" t="s">
        <v>6172</v>
      </c>
      <c r="K946" s="431" t="s">
        <v>6173</v>
      </c>
      <c r="L946" s="431">
        <v>4</v>
      </c>
      <c r="M946" s="431" t="s">
        <v>6247</v>
      </c>
      <c r="N946" s="433" t="s">
        <v>6174</v>
      </c>
      <c r="O946" s="431" t="s">
        <v>284</v>
      </c>
      <c r="P946" s="431" t="s">
        <v>5846</v>
      </c>
      <c r="Q946" s="431" t="s">
        <v>5847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215">
        <v>4680</v>
      </c>
      <c r="V946" s="435">
        <f>PV_DATA[[#This Row],[QUANTITY]]*PV_DATA[[#This Row],[WATT]]/1000000</f>
        <v>2.2698</v>
      </c>
      <c r="W946" s="1026">
        <f>PV_DATA[[#This Row],[QUANTITY]]/36</f>
        <v>130</v>
      </c>
      <c r="X946" s="1110">
        <f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5848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6316</v>
      </c>
      <c r="AE946" s="431"/>
      <c r="AF946" s="431" t="s">
        <v>1525</v>
      </c>
      <c r="AG946" s="431" t="s">
        <v>5992</v>
      </c>
      <c r="AH946" s="431" t="s">
        <v>541</v>
      </c>
      <c r="AI946" s="715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72">
        <v>46297</v>
      </c>
      <c r="AN946" s="590" t="str">
        <f>IFERROR(IF(VLOOKUP(AT946,Vessel!A:I,9,FALSE)=0,"",VLOOKUP(AT946,Vessel!A:I,9,FALSE)),"")</f>
        <v/>
      </c>
      <c r="AP946" s="431" t="s">
        <v>5950</v>
      </c>
      <c r="AQ946" s="431" t="s">
        <v>80</v>
      </c>
      <c r="AR946" s="431" t="s">
        <v>6317</v>
      </c>
      <c r="AS946" s="431" t="s">
        <v>6318</v>
      </c>
      <c r="AT946" s="431" t="s">
        <v>6318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6319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6172</v>
      </c>
      <c r="I947" s="463" t="s">
        <v>882</v>
      </c>
      <c r="J947" s="431" t="s">
        <v>6172</v>
      </c>
      <c r="K947" s="431" t="s">
        <v>6196</v>
      </c>
      <c r="L947" s="431">
        <v>2</v>
      </c>
      <c r="M947" s="431" t="s">
        <v>6247</v>
      </c>
      <c r="N947" s="433" t="s">
        <v>6174</v>
      </c>
      <c r="O947" s="431" t="s">
        <v>284</v>
      </c>
      <c r="P947" s="431" t="s">
        <v>5846</v>
      </c>
      <c r="Q947" s="431" t="s">
        <v>5847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215">
        <v>1872</v>
      </c>
      <c r="V947" s="435">
        <f>PV_DATA[[#This Row],[QUANTITY]]*PV_DATA[[#This Row],[WATT]]/1000000</f>
        <v>0.90791999999999995</v>
      </c>
      <c r="W947" s="1026">
        <f>PV_DATA[[#This Row],[QUANTITY]]/36</f>
        <v>52</v>
      </c>
      <c r="X947" s="1110">
        <f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5848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6320</v>
      </c>
      <c r="AE947" s="431"/>
      <c r="AF947" s="431" t="s">
        <v>1525</v>
      </c>
      <c r="AG947" s="431" t="s">
        <v>5992</v>
      </c>
      <c r="AH947" s="431" t="s">
        <v>456</v>
      </c>
      <c r="AI947" s="715">
        <v>46256</v>
      </c>
      <c r="AK947" s="438">
        <f>IFERROR(IF(VLOOKUP(AT947,Vessel!A:F,5,FALSE)=0,"",VLOOKUP(AT947,Vessel!A:F,5,FALSE)),"")</f>
        <v>46260.478738425925</v>
      </c>
      <c r="AL947" s="1272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6321</v>
      </c>
      <c r="AQ947" s="439" t="s">
        <v>80</v>
      </c>
      <c r="AR947" s="431" t="s">
        <v>6322</v>
      </c>
      <c r="AS947" s="431" t="s">
        <v>6323</v>
      </c>
      <c r="AT947" s="431" t="s">
        <v>6323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6324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6172</v>
      </c>
      <c r="I948" s="463" t="s">
        <v>882</v>
      </c>
      <c r="J948" s="431" t="s">
        <v>6172</v>
      </c>
      <c r="K948" s="431" t="s">
        <v>6196</v>
      </c>
      <c r="L948" s="431">
        <v>6</v>
      </c>
      <c r="M948" s="431" t="s">
        <v>4962</v>
      </c>
      <c r="N948" s="433" t="s">
        <v>6174</v>
      </c>
      <c r="O948" s="431" t="s">
        <v>284</v>
      </c>
      <c r="P948" s="431" t="s">
        <v>5846</v>
      </c>
      <c r="Q948" s="431" t="s">
        <v>5847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215">
        <v>1872</v>
      </c>
      <c r="V948" s="435">
        <f>PV_DATA[[#This Row],[QUANTITY]]*PV_DATA[[#This Row],[WATT]]/1000000</f>
        <v>0.90791999999999995</v>
      </c>
      <c r="W948" s="1026">
        <f>PV_DATA[[#This Row],[QUANTITY]]/36</f>
        <v>52</v>
      </c>
      <c r="X948" s="1110">
        <f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5848</v>
      </c>
      <c r="AB948" s="438">
        <v>46255</v>
      </c>
      <c r="AC948" s="487">
        <f>IF(PV_DATA[[#This Row],[Pick-Up Date]]&lt;&gt;"",_xlfn.ISOWEEKNUM(PV_DATA[[#This Row],[Pick-Up Date]]),"")</f>
        <v>34</v>
      </c>
      <c r="AD948" s="431" t="s">
        <v>6325</v>
      </c>
      <c r="AE948" s="431"/>
      <c r="AF948" s="431" t="s">
        <v>1525</v>
      </c>
      <c r="AG948" s="431" t="s">
        <v>5992</v>
      </c>
      <c r="AH948" s="431" t="s">
        <v>456</v>
      </c>
      <c r="AI948" s="715">
        <v>46253</v>
      </c>
      <c r="AK948" s="438">
        <f>IFERROR(IF(VLOOKUP(AT948,Vessel!A:F,5,FALSE)=0,"",VLOOKUP(AT948,Vessel!A:F,5,FALSE)),"")</f>
        <v>46260.478738425925</v>
      </c>
      <c r="AL948" s="1272">
        <v>46292</v>
      </c>
      <c r="AM948" s="590">
        <f>IFERROR(VLOOKUP(AT948, Vessel!A:H, 8, FALSE), "")</f>
        <v>46302.25</v>
      </c>
      <c r="AN948" s="590" t="str">
        <f>IFERROR(IF(VLOOKUP(AT948,Vessel!A:I,9,FALSE)=0,"",VLOOKUP(AT948,Vessel!A:I,9,FALSE)),"")</f>
        <v/>
      </c>
      <c r="AP948" s="431" t="s">
        <v>6321</v>
      </c>
      <c r="AQ948" s="439" t="s">
        <v>80</v>
      </c>
      <c r="AR948" s="431" t="s">
        <v>6326</v>
      </c>
      <c r="AS948" s="431" t="s">
        <v>6327</v>
      </c>
      <c r="AT948" s="869" t="s">
        <v>6327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46302.25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ht="10.5" hidden="1">
      <c r="A949" s="731" t="s">
        <v>6328</v>
      </c>
      <c r="B949" s="463" t="s">
        <v>1757</v>
      </c>
      <c r="C949" s="463" t="str">
        <f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88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6172</v>
      </c>
      <c r="I949" s="463" t="s">
        <v>882</v>
      </c>
      <c r="J949" s="431" t="s">
        <v>6172</v>
      </c>
      <c r="K949" s="431" t="s">
        <v>6173</v>
      </c>
      <c r="L949" s="431">
        <v>6</v>
      </c>
      <c r="M949" s="431" t="s">
        <v>4962</v>
      </c>
      <c r="N949" s="433" t="s">
        <v>6174</v>
      </c>
      <c r="O949" s="431" t="s">
        <v>284</v>
      </c>
      <c r="P949" s="431" t="s">
        <v>5846</v>
      </c>
      <c r="Q949" s="431" t="s">
        <v>5847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214">
        <f>936*5</f>
        <v>4680</v>
      </c>
      <c r="V949" s="435">
        <f>PV_DATA[[#This Row],[QUANTITY]]*PV_DATA[[#This Row],[WATT]]/1000000</f>
        <v>2.2698</v>
      </c>
      <c r="W949" s="1026">
        <f>PV_DATA[[#This Row],[QUANTITY]]/36</f>
        <v>130</v>
      </c>
      <c r="X949" s="1110">
        <f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5848</v>
      </c>
      <c r="AB949" s="438">
        <v>46265</v>
      </c>
      <c r="AC949" s="487">
        <f>IF(PV_DATA[[#This Row],[Pick-Up Date]]&lt;&gt;"",_xlfn.ISOWEEKNUM(PV_DATA[[#This Row],[Pick-Up Date]]),"")</f>
        <v>36</v>
      </c>
      <c r="AD949" s="431" t="s">
        <v>6329</v>
      </c>
      <c r="AE949" s="431"/>
      <c r="AF949" s="431" t="s">
        <v>1525</v>
      </c>
      <c r="AG949" s="431" t="s">
        <v>5992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72">
        <v>46304</v>
      </c>
      <c r="AN949" s="590" t="str">
        <f>IFERROR(IF(VLOOKUP(AT949,Vessel!A:I,9,FALSE)=0,"",VLOOKUP(AT949,Vessel!A:I,9,FALSE)),"")</f>
        <v/>
      </c>
      <c r="AP949" s="431" t="s">
        <v>6330</v>
      </c>
      <c r="AQ949" s="431" t="s">
        <v>80</v>
      </c>
      <c r="AR949" s="431" t="s">
        <v>6331</v>
      </c>
      <c r="AS949" s="431" t="s">
        <v>6332</v>
      </c>
      <c r="AT949" s="431" t="s">
        <v>6332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2" t="str">
        <f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6333</v>
      </c>
      <c r="B950" s="463" t="s">
        <v>61</v>
      </c>
      <c r="C950" s="463" t="str">
        <f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46188</v>
      </c>
      <c r="O950" s="463" t="s">
        <v>4526</v>
      </c>
      <c r="P950" s="463" t="s">
        <v>1461</v>
      </c>
      <c r="Q950" s="463" t="s">
        <v>103</v>
      </c>
      <c r="R950" s="463" t="str">
        <f>_xlfn.XLOOKUP(PV_DATA[[#This Row],[New Ark SKU]],Table9[New Ark SKU],Table9[Connector],,0)</f>
        <v>EVO2A</v>
      </c>
      <c r="S950" s="989" t="str">
        <f>_xlfn.XLOOKUP(PV_DATA[[#This Row],[New Ark SKU]],Table9[New Ark SKU],Table9[Cable],,0)</f>
        <v>±1400mm</v>
      </c>
      <c r="T950" s="989">
        <v>620</v>
      </c>
      <c r="U950" s="1214">
        <v>720</v>
      </c>
      <c r="V950" s="459">
        <f>PV_DATA[[#This Row],[QUANTITY]]*PV_DATA[[#This Row],[WATT]]/1000000</f>
        <v>0.44640000000000002</v>
      </c>
      <c r="W950" s="716">
        <f>PV_DATA[[#This Row],[QUANTITY]]/PV_DATA[[#This Row],[Qty/Pallet]]</f>
        <v>20</v>
      </c>
      <c r="X950" s="1112">
        <f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5848</v>
      </c>
      <c r="AB950" s="715">
        <v>46253</v>
      </c>
      <c r="AC950" s="990">
        <f>IF(PV_DATA[[#This Row],[Pick-Up Date]]&lt;&gt;"",_xlfn.ISOWEEKNUM(PV_DATA[[#This Row],[Pick-Up Date]]),"")</f>
        <v>34</v>
      </c>
      <c r="AD950" s="463" t="s">
        <v>6334</v>
      </c>
      <c r="AE950" s="463" t="s">
        <v>6334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2">
        <f>IFERROR(VLOOKUP(AT950, Vessel!A:H, 8, FALSE), "")</f>
        <v>46309.333333333336</v>
      </c>
      <c r="AN950" s="992" t="str">
        <f>IFERROR(IF(VLOOKUP(AT950,Vessel!A:I,9,FALSE)=0,"",VLOOKUP(AT950,Vessel!A:I,9,FALSE)),"")</f>
        <v/>
      </c>
      <c r="AP950" s="463" t="s">
        <v>6335</v>
      </c>
      <c r="AQ950" s="463" t="s">
        <v>80</v>
      </c>
      <c r="AR950" s="463" t="s">
        <v>6336</v>
      </c>
      <c r="AS950" s="463" t="s">
        <v>6337</v>
      </c>
      <c r="AT950" s="463" t="s">
        <v>6337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46316.333333333336</v>
      </c>
      <c r="BB950" s="989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43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991" t="str">
        <f>_xlfn.XLOOKUP(PV_DATA[[#This Row],[PORT DESTINATION]],Table12[PORT DESTINATION],Table12[Cosco Line],,0)</f>
        <v>AEU</v>
      </c>
    </row>
    <row r="951" spans="1:62" s="463" customFormat="1" ht="10.5" hidden="1">
      <c r="A951" s="463" t="s">
        <v>6338</v>
      </c>
      <c r="B951" s="463" t="s">
        <v>61</v>
      </c>
      <c r="C951" s="463" t="str">
        <f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14">
        <v>46202</v>
      </c>
      <c r="O951" s="463" t="s">
        <v>284</v>
      </c>
      <c r="P951" s="732" t="s">
        <v>6157</v>
      </c>
      <c r="Q951" s="463" t="s">
        <v>1570</v>
      </c>
      <c r="R951" s="463" t="str">
        <f>_xlfn.XLOOKUP(PV_DATA[[#This Row],[New Ark SKU]],Table9[New Ark SKU],Table9[Connector],,0)</f>
        <v>EVO2A</v>
      </c>
      <c r="S951" s="989" t="str">
        <f>_xlfn.XLOOKUP(PV_DATA[[#This Row],[New Ark SKU]],Table9[New Ark SKU],Table9[Cable],,0)</f>
        <v>±1400mm</v>
      </c>
      <c r="T951" s="989">
        <v>650</v>
      </c>
      <c r="U951" s="1214">
        <v>720</v>
      </c>
      <c r="V951" s="459">
        <f>PV_DATA[[#This Row],[QUANTITY]]*PV_DATA[[#This Row],[WATT]]/1000000</f>
        <v>0.46800000000000003</v>
      </c>
      <c r="W951" s="716">
        <f>PV_DATA[[#This Row],[QUANTITY]]/PV_DATA[[#This Row],[Qty/Pallet]]</f>
        <v>20</v>
      </c>
      <c r="X951" s="1112">
        <f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15">
        <v>46253</v>
      </c>
      <c r="AC951" s="990">
        <f>IF(PV_DATA[[#This Row],[Pick-Up Date]]&lt;&gt;"",_xlfn.ISOWEEKNUM(PV_DATA[[#This Row],[Pick-Up Date]]),"")</f>
        <v>34</v>
      </c>
      <c r="AD951" s="463" t="s">
        <v>6339</v>
      </c>
      <c r="AE951" s="463" t="s">
        <v>6339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2">
        <f>IFERROR(VLOOKUP(AT951, Vessel!A:H, 8, FALSE), "")</f>
        <v>46309.333333333336</v>
      </c>
      <c r="AN951" s="992" t="str">
        <f>IFERROR(IF(VLOOKUP(AT951,Vessel!A:I,9,FALSE)=0,"",VLOOKUP(AT951,Vessel!A:I,9,FALSE)),"")</f>
        <v/>
      </c>
      <c r="AP951" s="463" t="s">
        <v>6335</v>
      </c>
      <c r="AQ951" s="463" t="s">
        <v>80</v>
      </c>
      <c r="AR951" s="463" t="s">
        <v>6336</v>
      </c>
      <c r="AS951" s="463" t="s">
        <v>6337</v>
      </c>
      <c r="AT951" s="463" t="s">
        <v>6337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46316.333333333336</v>
      </c>
      <c r="BB951" s="989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43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991" t="str">
        <f>_xlfn.XLOOKUP(PV_DATA[[#This Row],[PORT DESTINATION]],Table12[PORT DESTINATION],Table12[Cosco Line],,0)</f>
        <v>AEU</v>
      </c>
    </row>
    <row r="952" spans="1:62" s="463" customFormat="1" ht="10.5" hidden="1">
      <c r="A952" s="731" t="s">
        <v>6340</v>
      </c>
      <c r="B952" s="463" t="s">
        <v>61</v>
      </c>
      <c r="C952" s="463" t="str">
        <f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14">
        <v>46237</v>
      </c>
      <c r="O952" s="463" t="s">
        <v>4526</v>
      </c>
      <c r="P952" s="463" t="s">
        <v>71</v>
      </c>
      <c r="Q952" s="463" t="s">
        <v>72</v>
      </c>
      <c r="R952" s="463" t="str">
        <f>_xlfn.XLOOKUP(PV_DATA[[#This Row],[New Ark SKU]],Table9[New Ark SKU],Table9[Connector],,0)</f>
        <v>EVO2A</v>
      </c>
      <c r="S952" s="989" t="str">
        <f>_xlfn.XLOOKUP(PV_DATA[[#This Row],[New Ark SKU]],Table9[New Ark SKU],Table9[Cable],,0)</f>
        <v>±1200mm</v>
      </c>
      <c r="T952" s="989">
        <v>500</v>
      </c>
      <c r="U952" s="1214">
        <f>864*6</f>
        <v>5184</v>
      </c>
      <c r="V952" s="459">
        <f>PV_DATA[[#This Row],[QUANTITY]]*PV_DATA[[#This Row],[WATT]]/1000000</f>
        <v>2.5920000000000001</v>
      </c>
      <c r="W952" s="716">
        <f>PV_DATA[[#This Row],[QUANTITY]]/PV_DATA[[#This Row],[Qty/Pallet]]</f>
        <v>144</v>
      </c>
      <c r="X952" s="1112">
        <f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5848</v>
      </c>
      <c r="AB952" s="715">
        <v>46253</v>
      </c>
      <c r="AC952" s="990">
        <f>IF(PV_DATA[[#This Row],[Pick-Up Date]]&lt;&gt;"",_xlfn.ISOWEEKNUM(PV_DATA[[#This Row],[Pick-Up Date]]),"")</f>
        <v>34</v>
      </c>
      <c r="AD952" s="463" t="s">
        <v>6341</v>
      </c>
      <c r="AE952" s="463" t="s">
        <v>6341</v>
      </c>
      <c r="AF952" s="463" t="s">
        <v>61</v>
      </c>
      <c r="AG952" s="463" t="s">
        <v>61</v>
      </c>
      <c r="AH952" s="463" t="s">
        <v>105</v>
      </c>
      <c r="AI952" s="715">
        <v>46258</v>
      </c>
      <c r="AJ952" s="715">
        <v>46259</v>
      </c>
      <c r="AK952" s="715">
        <f>IFERROR(IF(VLOOKUP(AT952,Vessel!A:F,5,FALSE)=0,"",VLOOKUP(AT952,Vessel!A:F,5,FALSE)),"")</f>
        <v>46259.371157407404</v>
      </c>
      <c r="AL952" s="715">
        <v>46303</v>
      </c>
      <c r="AM952" s="992">
        <f>IFERROR(VLOOKUP(AT952, Vessel!A:H, 8, FALSE), "")</f>
        <v>46309.333333333336</v>
      </c>
      <c r="AN952" s="992" t="str">
        <f>IFERROR(IF(VLOOKUP(AT952,Vessel!A:I,9,FALSE)=0,"",VLOOKUP(AT952,Vessel!A:I,9,FALSE)),"")</f>
        <v/>
      </c>
      <c r="AP952" s="463" t="s">
        <v>6335</v>
      </c>
      <c r="AQ952" s="463" t="s">
        <v>80</v>
      </c>
      <c r="AR952" s="463" t="s">
        <v>6336</v>
      </c>
      <c r="AS952" s="463" t="s">
        <v>6337</v>
      </c>
      <c r="AT952" s="463" t="s">
        <v>6337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46310</v>
      </c>
      <c r="AZ95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46316.333333333336</v>
      </c>
      <c r="BB952" s="989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43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991" t="str">
        <f>_xlfn.XLOOKUP(PV_DATA[[#This Row],[PORT DESTINATION]],Table12[PORT DESTINATION],Table12[Cosco Line],,0)</f>
        <v>AEU</v>
      </c>
    </row>
    <row r="953" spans="1:62" s="463" customFormat="1" ht="10.5" hidden="1">
      <c r="A953" s="463" t="s">
        <v>6342</v>
      </c>
      <c r="B953" s="463" t="s">
        <v>61</v>
      </c>
      <c r="C953" s="463" t="str">
        <f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14">
        <v>46188</v>
      </c>
      <c r="O953" s="463" t="s">
        <v>4526</v>
      </c>
      <c r="P953" s="463" t="s">
        <v>1461</v>
      </c>
      <c r="Q953" s="463" t="s">
        <v>103</v>
      </c>
      <c r="R953" s="463" t="str">
        <f>_xlfn.XLOOKUP(PV_DATA[[#This Row],[New Ark SKU]],Table9[New Ark SKU],Table9[Connector],,0)</f>
        <v>EVO2A</v>
      </c>
      <c r="S953" s="989" t="str">
        <f>_xlfn.XLOOKUP(PV_DATA[[#This Row],[New Ark SKU]],Table9[New Ark SKU],Table9[Cable],,0)</f>
        <v>±1400mm</v>
      </c>
      <c r="T953" s="989">
        <v>620</v>
      </c>
      <c r="U953" s="1214">
        <v>1440</v>
      </c>
      <c r="V953" s="459">
        <f>PV_DATA[[#This Row],[QUANTITY]]*PV_DATA[[#This Row],[WATT]]/1000000</f>
        <v>0.89280000000000004</v>
      </c>
      <c r="W953" s="716">
        <f>PV_DATA[[#This Row],[QUANTITY]]/PV_DATA[[#This Row],[Qty/Pallet]]</f>
        <v>40</v>
      </c>
      <c r="X953" s="1112">
        <f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5848</v>
      </c>
      <c r="AB953" s="715">
        <v>46249</v>
      </c>
      <c r="AC953" s="990">
        <f>IF(PV_DATA[[#This Row],[Pick-Up Date]]&lt;&gt;"",_xlfn.ISOWEEKNUM(PV_DATA[[#This Row],[Pick-Up Date]]),"")</f>
        <v>33</v>
      </c>
      <c r="AD953" s="463" t="s">
        <v>6343</v>
      </c>
      <c r="AE953" s="463" t="s">
        <v>6343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2"/>
      <c r="AO953" s="463" t="s">
        <v>402</v>
      </c>
      <c r="AP953" s="463" t="s">
        <v>6344</v>
      </c>
      <c r="AQ953" s="463" t="s">
        <v>161</v>
      </c>
      <c r="AR953" s="463" t="s">
        <v>6345</v>
      </c>
      <c r="AS953" s="463" t="s">
        <v>6346</v>
      </c>
      <c r="AT953" s="463" t="s">
        <v>6346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15"/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9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6347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4526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9" t="str">
        <f>_xlfn.XLOOKUP(PV_DATA[[#This Row],[New Ark SKU]],Table9[New Ark SKU],Table9[Cable],,0)</f>
        <v>±1200mm</v>
      </c>
      <c r="T954" s="989">
        <v>505</v>
      </c>
      <c r="U954" s="1214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12">
        <f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6348</v>
      </c>
      <c r="AB954" s="715">
        <v>46249</v>
      </c>
      <c r="AC954" s="990">
        <f>IF(PV_DATA[[#This Row],[Pick-Up Date]]&lt;&gt;"",_xlfn.ISOWEEKNUM(PV_DATA[[#This Row],[Pick-Up Date]]),"")</f>
        <v>33</v>
      </c>
      <c r="AD954" s="463" t="s">
        <v>6349</v>
      </c>
      <c r="AE954" s="463" t="s">
        <v>6349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2"/>
      <c r="AO954" s="463" t="s">
        <v>402</v>
      </c>
      <c r="AP954" s="463" t="s">
        <v>6344</v>
      </c>
      <c r="AQ954" s="463" t="s">
        <v>161</v>
      </c>
      <c r="AR954" s="463" t="s">
        <v>6345</v>
      </c>
      <c r="AS954" s="463" t="s">
        <v>6346</v>
      </c>
      <c r="AT954" s="463" t="s">
        <v>6346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9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91" t="str">
        <f>_xlfn.XLOOKUP(PV_DATA[[#This Row],[PORT DESTINATION]],Table12[PORT DESTINATION],Table12[Cosco Line],,0)</f>
        <v>AEU</v>
      </c>
    </row>
    <row r="955" spans="1:62" s="463" customFormat="1" ht="10.5" hidden="1">
      <c r="A955" s="731" t="s">
        <v>6350</v>
      </c>
      <c r="B955" s="463" t="s">
        <v>61</v>
      </c>
      <c r="C955" s="463" t="str">
        <f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14">
        <v>46237</v>
      </c>
      <c r="O955" s="463" t="s">
        <v>4526</v>
      </c>
      <c r="P955" s="463" t="s">
        <v>1151</v>
      </c>
      <c r="Q955" s="463" t="s">
        <v>421</v>
      </c>
      <c r="R955" s="463" t="str">
        <f>_xlfn.XLOOKUP(PV_DATA[[#This Row],[New Ark SKU]],Table9[New Ark SKU],Table9[Connector],,0)</f>
        <v>EVO2A</v>
      </c>
      <c r="S955" s="989" t="str">
        <f>_xlfn.XLOOKUP(PV_DATA[[#This Row],[New Ark SKU]],Table9[New Ark SKU],Table9[Cable],,0)</f>
        <v>±1200mm</v>
      </c>
      <c r="T955" s="989">
        <v>505</v>
      </c>
      <c r="U955" s="1214">
        <f>864*6</f>
        <v>5184</v>
      </c>
      <c r="V955" s="459">
        <f>PV_DATA[[#This Row],[QUANTITY]]*PV_DATA[[#This Row],[WATT]]/1000000</f>
        <v>2.6179199999999998</v>
      </c>
      <c r="W955" s="716">
        <f>PV_DATA[[#This Row],[QUANTITY]]/PV_DATA[[#This Row],[Qty/Pallet]]</f>
        <v>144</v>
      </c>
      <c r="X955" s="1112">
        <f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6351</v>
      </c>
      <c r="AB955" s="715">
        <v>46249</v>
      </c>
      <c r="AC955" s="990">
        <f>IF(PV_DATA[[#This Row],[Pick-Up Date]]&lt;&gt;"",_xlfn.ISOWEEKNUM(PV_DATA[[#This Row],[Pick-Up Date]]),"")</f>
        <v>33</v>
      </c>
      <c r="AD955" s="463" t="s">
        <v>6352</v>
      </c>
      <c r="AE955" s="463" t="s">
        <v>6352</v>
      </c>
      <c r="AF955" s="463" t="s">
        <v>61</v>
      </c>
      <c r="AG955" s="463" t="s">
        <v>61</v>
      </c>
      <c r="AH955" s="463" t="s">
        <v>105</v>
      </c>
      <c r="AI955" s="715">
        <v>46257</v>
      </c>
      <c r="AJ955" s="715">
        <v>46263</v>
      </c>
      <c r="AK955" s="438">
        <v>46263</v>
      </c>
      <c r="AL955" s="715">
        <v>46305</v>
      </c>
      <c r="AM955" s="715"/>
      <c r="AN955" s="992"/>
      <c r="AO955" s="463" t="s">
        <v>402</v>
      </c>
      <c r="AP955" s="463" t="s">
        <v>6344</v>
      </c>
      <c r="AQ955" s="463" t="s">
        <v>161</v>
      </c>
      <c r="AR955" s="463" t="s">
        <v>6345</v>
      </c>
      <c r="AS955" s="463" t="s">
        <v>6346</v>
      </c>
      <c r="AT955" s="463" t="s">
        <v>6346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46318</v>
      </c>
      <c r="AZ9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9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991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6353</v>
      </c>
      <c r="B956" s="463" t="s">
        <v>61</v>
      </c>
      <c r="C956" s="463" t="str">
        <f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4526</v>
      </c>
      <c r="P956" s="463" t="s">
        <v>1461</v>
      </c>
      <c r="Q956" s="463" t="s">
        <v>103</v>
      </c>
      <c r="R956" s="463" t="str">
        <f>_xlfn.XLOOKUP(PV_DATA[[#This Row],[New Ark SKU]],Table9[New Ark SKU],Table9[Connector],,0)</f>
        <v>EVO2A</v>
      </c>
      <c r="S956" s="989" t="str">
        <f>_xlfn.XLOOKUP(PV_DATA[[#This Row],[New Ark SKU]],Table9[New Ark SKU],Table9[Cable],,0)</f>
        <v>±1400mm</v>
      </c>
      <c r="T956" s="989">
        <v>620</v>
      </c>
      <c r="U956" s="1214">
        <v>1440</v>
      </c>
      <c r="V956" s="459">
        <f>PV_DATA[[#This Row],[QUANTITY]]*PV_DATA[[#This Row],[WATT]]/1000000</f>
        <v>0.89280000000000004</v>
      </c>
      <c r="W956" s="716">
        <f>PV_DATA[[#This Row],[QUANTITY]]/PV_DATA[[#This Row],[Qty/Pallet]]</f>
        <v>40</v>
      </c>
      <c r="X956" s="1112">
        <f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5848</v>
      </c>
      <c r="AB956" s="715">
        <v>46247</v>
      </c>
      <c r="AC956" s="990">
        <f>IF(PV_DATA[[#This Row],[Pick-Up Date]]&lt;&gt;"",_xlfn.ISOWEEKNUM(PV_DATA[[#This Row],[Pick-Up Date]]),"")</f>
        <v>33</v>
      </c>
      <c r="AD956" s="463" t="s">
        <v>6354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2"/>
      <c r="AO956" s="463" t="s">
        <v>402</v>
      </c>
      <c r="AP956" s="463" t="s">
        <v>6355</v>
      </c>
      <c r="AQ956" s="463" t="s">
        <v>161</v>
      </c>
      <c r="AR956" s="463" t="s">
        <v>6356</v>
      </c>
      <c r="AS956" s="463" t="s">
        <v>6357</v>
      </c>
      <c r="AT956" s="463" t="s">
        <v>6357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9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6358</v>
      </c>
      <c r="B957" s="463" t="s">
        <v>61</v>
      </c>
      <c r="C957" s="463" t="str">
        <f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4526</v>
      </c>
      <c r="P957" s="463" t="s">
        <v>1002</v>
      </c>
      <c r="Q957" s="463" t="s">
        <v>330</v>
      </c>
      <c r="R957" s="463" t="str">
        <f>_xlfn.XLOOKUP(PV_DATA[[#This Row],[New Ark SKU]],Table9[New Ark SKU],Table9[Connector],,0)</f>
        <v>EVO2A</v>
      </c>
      <c r="S957" s="989" t="str">
        <f>_xlfn.XLOOKUP(PV_DATA[[#This Row],[New Ark SKU]],Table9[New Ark SKU],Table9[Cable],,0)</f>
        <v>±1400mm</v>
      </c>
      <c r="T957" s="989">
        <v>625</v>
      </c>
      <c r="U957" s="1214" cm="1">
        <f t="array" ref="U957">9360-fx_qty</f>
        <v>2880</v>
      </c>
      <c r="V957" s="459">
        <f>PV_DATA[[#This Row],[QUANTITY]]*PV_DATA[[#This Row],[WATT]]/1000000</f>
        <v>1.8</v>
      </c>
      <c r="W957" s="716">
        <f>PV_DATA[[#This Row],[QUANTITY]]/PV_DATA[[#This Row],[Qty/Pallet]]</f>
        <v>80</v>
      </c>
      <c r="X957" s="1112">
        <f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5848</v>
      </c>
      <c r="AB957" s="715">
        <v>46247</v>
      </c>
      <c r="AC957" s="990">
        <f>IF(PV_DATA[[#This Row],[Pick-Up Date]]&lt;&gt;"",_xlfn.ISOWEEKNUM(PV_DATA[[#This Row],[Pick-Up Date]]),"")</f>
        <v>33</v>
      </c>
      <c r="AD957" s="463" t="s">
        <v>6359</v>
      </c>
      <c r="AF957" s="463" t="s">
        <v>61</v>
      </c>
      <c r="AG957" s="463" t="s">
        <v>61</v>
      </c>
      <c r="AH957" s="463" t="s">
        <v>105</v>
      </c>
      <c r="AI957" s="715">
        <v>46253</v>
      </c>
      <c r="AJ957" s="715"/>
      <c r="AK957" s="715">
        <v>46254</v>
      </c>
      <c r="AL957" s="715">
        <v>46305</v>
      </c>
      <c r="AM957" s="715"/>
      <c r="AN957" s="992"/>
      <c r="AO957" s="463" t="s">
        <v>402</v>
      </c>
      <c r="AP957" s="463" t="s">
        <v>6355</v>
      </c>
      <c r="AQ957" s="463" t="s">
        <v>161</v>
      </c>
      <c r="AR957" s="463" t="s">
        <v>6356</v>
      </c>
      <c r="AS957" s="463" t="s">
        <v>6357</v>
      </c>
      <c r="AT957" s="463" t="s">
        <v>6357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46312</v>
      </c>
      <c r="AZ9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15">
        <f>IFERROR(PV_DATA[[#This Row],[ODP ETA Port]]+PV_DATA[[#This Row],[Customs/Leg3 Assumption]],"n/a")</f>
        <v>46312</v>
      </c>
      <c r="BB957" s="989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 hidden="1">
      <c r="A958" s="463" t="s">
        <v>6360</v>
      </c>
      <c r="B958" s="463" t="s">
        <v>61</v>
      </c>
      <c r="C958" s="463" t="str">
        <f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14">
        <v>46188</v>
      </c>
      <c r="O958" s="463" t="s">
        <v>4526</v>
      </c>
      <c r="P958" s="463" t="s">
        <v>1461</v>
      </c>
      <c r="Q958" s="463" t="s">
        <v>103</v>
      </c>
      <c r="R958" s="463" t="str">
        <f>_xlfn.XLOOKUP(PV_DATA[[#This Row],[New Ark SKU]],Table9[New Ark SKU],Table9[Connector],,0)</f>
        <v>EVO2A</v>
      </c>
      <c r="S958" s="989" t="str">
        <f>_xlfn.XLOOKUP(PV_DATA[[#This Row],[New Ark SKU]],Table9[New Ark SKU],Table9[Cable],,0)</f>
        <v>±1400mm</v>
      </c>
      <c r="T958" s="989">
        <v>620</v>
      </c>
      <c r="U958" s="1214">
        <f>720*3</f>
        <v>2160</v>
      </c>
      <c r="V958" s="459">
        <f>PV_DATA[[#This Row],[QUANTITY]]*PV_DATA[[#This Row],[WATT]]/1000000</f>
        <v>1.3391999999999999</v>
      </c>
      <c r="W958" s="716">
        <f>PV_DATA[[#This Row],[QUANTITY]]/PV_DATA[[#This Row],[Qty/Pallet]]</f>
        <v>60</v>
      </c>
      <c r="X958" s="1112">
        <f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5848</v>
      </c>
      <c r="AB958" s="715">
        <v>46253</v>
      </c>
      <c r="AC958" s="990">
        <f>IF(PV_DATA[[#This Row],[Pick-Up Date]]&lt;&gt;"",_xlfn.ISOWEEKNUM(PV_DATA[[#This Row],[Pick-Up Date]]),"")</f>
        <v>34</v>
      </c>
      <c r="AD958" s="463" t="s">
        <v>6361</v>
      </c>
      <c r="AE958" s="463" t="s">
        <v>6361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715"/>
      <c r="AN958" s="992" t="str">
        <f>IFERROR(IF(VLOOKUP(AT958,Vessel!A:I,9,FALSE)=0,"",VLOOKUP(AT958,Vessel!A:I,9,FALSE)),"")</f>
        <v/>
      </c>
      <c r="AP958" s="463" t="s">
        <v>6335</v>
      </c>
      <c r="AQ958" s="463" t="s">
        <v>80</v>
      </c>
      <c r="AR958" s="463" t="s">
        <v>6362</v>
      </c>
      <c r="AS958" s="463" t="s">
        <v>6363</v>
      </c>
      <c r="AT958" s="463" t="s">
        <v>6363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15"/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46329</v>
      </c>
      <c r="BB958" s="989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6364</v>
      </c>
      <c r="B959" s="463" t="s">
        <v>61</v>
      </c>
      <c r="C959" s="463" t="str">
        <f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14">
        <v>46202</v>
      </c>
      <c r="O959" s="463" t="s">
        <v>284</v>
      </c>
      <c r="P959" s="732" t="s">
        <v>6157</v>
      </c>
      <c r="Q959" s="463" t="s">
        <v>1570</v>
      </c>
      <c r="R959" s="463" t="str">
        <f>_xlfn.XLOOKUP(PV_DATA[[#This Row],[New Ark SKU]],Table9[New Ark SKU],Table9[Connector],,0)</f>
        <v>EVO2A</v>
      </c>
      <c r="S959" s="989" t="str">
        <f>_xlfn.XLOOKUP(PV_DATA[[#This Row],[New Ark SKU]],Table9[New Ark SKU],Table9[Cable],,0)</f>
        <v>±1400mm</v>
      </c>
      <c r="T959" s="989">
        <v>650</v>
      </c>
      <c r="U959" s="1214">
        <v>720</v>
      </c>
      <c r="V959" s="459">
        <f>PV_DATA[[#This Row],[QUANTITY]]*PV_DATA[[#This Row],[WATT]]/1000000</f>
        <v>0.46800000000000003</v>
      </c>
      <c r="W959" s="716">
        <f>PV_DATA[[#This Row],[QUANTITY]]/PV_DATA[[#This Row],[Qty/Pallet]]</f>
        <v>20</v>
      </c>
      <c r="X959" s="1112">
        <f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15">
        <v>46253</v>
      </c>
      <c r="AC959" s="990">
        <f>IF(PV_DATA[[#This Row],[Pick-Up Date]]&lt;&gt;"",_xlfn.ISOWEEKNUM(PV_DATA[[#This Row],[Pick-Up Date]]),"")</f>
        <v>34</v>
      </c>
      <c r="AD959" s="463" t="s">
        <v>6365</v>
      </c>
      <c r="AE959" s="463" t="s">
        <v>6365</v>
      </c>
      <c r="AF959" s="463" t="s">
        <v>61</v>
      </c>
      <c r="AG959" s="463" t="s">
        <v>61</v>
      </c>
      <c r="AH959" s="463" t="s">
        <v>78</v>
      </c>
      <c r="AI959" s="715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715">
        <v>46321</v>
      </c>
      <c r="AM959" s="992">
        <f>IFERROR(VLOOKUP(AT959, Vessel!A:H, 8, FALSE), "")</f>
        <v>46327.854166666664</v>
      </c>
      <c r="AN959" s="992" t="str">
        <f>IFERROR(IF(VLOOKUP(AT959,Vessel!A:I,9,FALSE)=0,"",VLOOKUP(AT959,Vessel!A:I,9,FALSE)),"")</f>
        <v/>
      </c>
      <c r="AP959" s="463" t="s">
        <v>6335</v>
      </c>
      <c r="AQ959" s="993" t="s">
        <v>80</v>
      </c>
      <c r="AR959" s="463" t="s">
        <v>6362</v>
      </c>
      <c r="AS959" s="463" t="s">
        <v>6363</v>
      </c>
      <c r="AT959" s="463" t="s">
        <v>6363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68.483009259260143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9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46329</v>
      </c>
      <c r="AZ95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15">
        <f>IFERROR(PV_DATA[[#This Row],[ODP ETA Port]]+PV_DATA[[#This Row],[Customs/Leg3 Assumption]],"n/a")</f>
        <v>46335.854166666664</v>
      </c>
      <c r="BB959" s="989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46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 hidden="1">
      <c r="A960" s="463" t="s">
        <v>6366</v>
      </c>
      <c r="B960" s="463" t="s">
        <v>61</v>
      </c>
      <c r="C960" s="463" t="str">
        <f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4959</v>
      </c>
      <c r="I960" s="463" t="s">
        <v>869</v>
      </c>
      <c r="J960" s="463" t="s">
        <v>4959</v>
      </c>
      <c r="K960" s="463" t="s">
        <v>6296</v>
      </c>
      <c r="L960" s="463">
        <v>2</v>
      </c>
      <c r="M960" s="463" t="s">
        <v>4962</v>
      </c>
      <c r="N960" s="714">
        <v>46237</v>
      </c>
      <c r="O960" s="463" t="s">
        <v>4526</v>
      </c>
      <c r="P960" s="463" t="s">
        <v>1151</v>
      </c>
      <c r="Q960" s="463" t="s">
        <v>421</v>
      </c>
      <c r="R960" s="463" t="str">
        <f>_xlfn.XLOOKUP(PV_DATA[[#This Row],[New Ark SKU]],Table9[New Ark SKU],Table9[Connector],,0)</f>
        <v>EVO2A</v>
      </c>
      <c r="S960" s="989" t="str">
        <f>_xlfn.XLOOKUP(PV_DATA[[#This Row],[New Ark SKU]],Table9[New Ark SKU],Table9[Cable],,0)</f>
        <v>±1200mm</v>
      </c>
      <c r="T960" s="989">
        <v>505</v>
      </c>
      <c r="U960" s="1214">
        <f>864*2</f>
        <v>1728</v>
      </c>
      <c r="V960" s="459">
        <f>PV_DATA[[#This Row],[QUANTITY]]*PV_DATA[[#This Row],[WATT]]/1000000</f>
        <v>0.87263999999999997</v>
      </c>
      <c r="W960" s="716">
        <f>PV_DATA[[#This Row],[QUANTITY]]/PV_DATA[[#This Row],[Qty/Pallet]]</f>
        <v>48</v>
      </c>
      <c r="X960" s="1112">
        <f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6367</v>
      </c>
      <c r="AB960" s="715">
        <v>46253</v>
      </c>
      <c r="AC960" s="990">
        <f>IF(PV_DATA[[#This Row],[Pick-Up Date]]&lt;&gt;"",_xlfn.ISOWEEKNUM(PV_DATA[[#This Row],[Pick-Up Date]]),"")</f>
        <v>34</v>
      </c>
      <c r="AD960" s="463" t="s">
        <v>6368</v>
      </c>
      <c r="AE960" s="463" t="s">
        <v>6368</v>
      </c>
      <c r="AF960" s="463" t="s">
        <v>61</v>
      </c>
      <c r="AG960" s="463" t="s">
        <v>61</v>
      </c>
      <c r="AH960" s="463" t="s">
        <v>78</v>
      </c>
      <c r="AI960" s="1015">
        <v>46258</v>
      </c>
      <c r="AJ960" s="715">
        <v>46259</v>
      </c>
      <c r="AK960" s="715">
        <f>IFERROR(IF(VLOOKUP(AT960,Vessel!A:F,5,FALSE)=0,"",VLOOKUP(AT960,Vessel!A:F,5,FALSE)),"")</f>
        <v>46259.371157407404</v>
      </c>
      <c r="AL960" s="1015">
        <v>46316</v>
      </c>
      <c r="AM960" s="992">
        <f>IFERROR(VLOOKUP(AT960, Vessel!A:H, 8, FALSE), "")</f>
        <v>46316.25</v>
      </c>
      <c r="AN960" s="992" t="str">
        <f>IFERROR(IF(VLOOKUP(AT960,Vessel!A:I,9,FALSE)=0,"",VLOOKUP(AT960,Vessel!A:I,9,FALSE)),"")</f>
        <v/>
      </c>
      <c r="AP960" s="463" t="s">
        <v>6335</v>
      </c>
      <c r="AQ960" s="993" t="s">
        <v>80</v>
      </c>
      <c r="AR960" s="463" t="s">
        <v>6369</v>
      </c>
      <c r="AS960" s="463" t="s">
        <v>6370</v>
      </c>
      <c r="AT960" s="463" t="s">
        <v>6370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1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15">
        <f>IF(ISERROR(PV_DATA[[#This Row],[New Ark PO status]]),"",_xlfn.XLOOKUP(PV_DATA[[#This Row],[SPTN-PVHK New Ark PO'#]],New_Ark_Data[Purchase order Number],New_Ark_Data[Estimated time of arrival],"",0))</f>
        <v>46316</v>
      </c>
      <c r="AZ96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15">
        <f>IFERROR(PV_DATA[[#This Row],[ODP ETA Port]]+PV_DATA[[#This Row],[Customs/Leg3 Assumption]],"n/a")</f>
        <v>46316.25</v>
      </c>
      <c r="BB960" s="989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991" t="str">
        <f>_xlfn.XLOOKUP(PV_DATA[[#This Row],[PORT DESTINATION]],Table12[PORT DESTINATION],Table12[Cosco Line],,0)</f>
        <v>AEM</v>
      </c>
    </row>
    <row r="961" spans="1:60" s="432" customFormat="1" ht="10.5" hidden="1">
      <c r="A961" s="730" t="s">
        <v>6371</v>
      </c>
      <c r="B961" s="440" t="s">
        <v>61</v>
      </c>
      <c r="C961" s="440" t="str">
        <f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6372</v>
      </c>
      <c r="J961" s="432" t="s">
        <v>96</v>
      </c>
      <c r="M961" s="431" t="s">
        <v>6273</v>
      </c>
      <c r="N961" s="462">
        <v>46237</v>
      </c>
      <c r="O961" s="432" t="s">
        <v>4526</v>
      </c>
      <c r="P961" s="432" t="s">
        <v>1151</v>
      </c>
      <c r="Q961" s="432" t="s">
        <v>421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212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14">
        <f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6373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6374</v>
      </c>
      <c r="AF961" s="448" t="s">
        <v>61</v>
      </c>
      <c r="AG961" s="448" t="s">
        <v>61</v>
      </c>
      <c r="AH961" s="432" t="s">
        <v>105</v>
      </c>
      <c r="AI961" s="1019">
        <v>46263</v>
      </c>
      <c r="AJ961" s="438">
        <v>46267</v>
      </c>
      <c r="AK961" s="438">
        <v>46267</v>
      </c>
      <c r="AL961" s="628">
        <v>46321</v>
      </c>
      <c r="AM961" s="628">
        <v>46324</v>
      </c>
      <c r="AN961" s="588"/>
      <c r="AO961" s="432" t="s">
        <v>402</v>
      </c>
      <c r="AP961" s="432" t="s">
        <v>6375</v>
      </c>
      <c r="AQ961" s="446" t="s">
        <v>161</v>
      </c>
      <c r="AR961" s="432" t="s">
        <v>6376</v>
      </c>
      <c r="AS961" s="432" t="s">
        <v>6377</v>
      </c>
      <c r="AT961" s="432" t="s">
        <v>6377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46331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24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6378</v>
      </c>
      <c r="B962" s="463" t="s">
        <v>61</v>
      </c>
      <c r="C962" s="463" t="str">
        <f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6273</v>
      </c>
      <c r="N962" s="714">
        <v>46202</v>
      </c>
      <c r="O962" s="463" t="s">
        <v>284</v>
      </c>
      <c r="P962" s="732" t="s">
        <v>6157</v>
      </c>
      <c r="Q962" s="463" t="s">
        <v>1570</v>
      </c>
      <c r="R962" s="463" t="str">
        <f>_xlfn.XLOOKUP(PV_DATA[[#This Row],[New Ark SKU]],Table9[New Ark SKU],Table9[Connector],,0)</f>
        <v>EVO2A</v>
      </c>
      <c r="S962" s="989" t="str">
        <f>_xlfn.XLOOKUP(PV_DATA[[#This Row],[New Ark SKU]],Table9[New Ark SKU],Table9[Cable],,0)</f>
        <v>±1400mm</v>
      </c>
      <c r="T962" s="989">
        <v>650</v>
      </c>
      <c r="U962" s="1214">
        <v>720</v>
      </c>
      <c r="V962" s="459">
        <f>PV_DATA[[#This Row],[QUANTITY]]*PV_DATA[[#This Row],[WATT]]/1000000</f>
        <v>0.46800000000000003</v>
      </c>
      <c r="W962" s="716">
        <f>PV_DATA[[#This Row],[QUANTITY]]/PV_DATA[[#This Row],[Qty/Pallet]]</f>
        <v>20</v>
      </c>
      <c r="X962" s="1112">
        <f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18" t="s">
        <v>6379</v>
      </c>
      <c r="AB962" s="715">
        <v>46252</v>
      </c>
      <c r="AC962" s="990">
        <f>IF(PV_DATA[[#This Row],[Pick-Up Date]]&lt;&gt;"",_xlfn.ISOWEEKNUM(PV_DATA[[#This Row],[Pick-Up Date]]),"")</f>
        <v>34</v>
      </c>
      <c r="AD962" s="463" t="s">
        <v>6380</v>
      </c>
      <c r="AE962" s="463" t="s">
        <v>6380</v>
      </c>
      <c r="AF962" s="463" t="s">
        <v>61</v>
      </c>
      <c r="AG962" s="463" t="s">
        <v>61</v>
      </c>
      <c r="AH962" s="463" t="s">
        <v>105</v>
      </c>
      <c r="AI962" s="715">
        <v>46259</v>
      </c>
      <c r="AJ962" s="715">
        <v>46259</v>
      </c>
      <c r="AK962" s="1009">
        <v>46259</v>
      </c>
      <c r="AL962" s="715">
        <v>46319</v>
      </c>
      <c r="AM962" s="715"/>
      <c r="AN962" s="992"/>
      <c r="AO962" s="463" t="s">
        <v>402</v>
      </c>
      <c r="AP962" s="463" t="s">
        <v>6381</v>
      </c>
      <c r="AQ962" s="993" t="s">
        <v>161</v>
      </c>
      <c r="AR962" s="463" t="s">
        <v>6382</v>
      </c>
      <c r="AS962" s="463" t="s">
        <v>6383</v>
      </c>
      <c r="AT962" s="463" t="s">
        <v>6383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46336</v>
      </c>
      <c r="AZ96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46326</v>
      </c>
      <c r="BB962" s="989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6384</v>
      </c>
      <c r="B963" s="463" t="s">
        <v>61</v>
      </c>
      <c r="C963" s="463" t="str">
        <f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14">
        <v>46209</v>
      </c>
      <c r="O963" s="463" t="s">
        <v>284</v>
      </c>
      <c r="P963" s="463" t="s">
        <v>5578</v>
      </c>
      <c r="Q963" s="463" t="s">
        <v>1570</v>
      </c>
      <c r="R963" s="463" t="str">
        <f>_xlfn.XLOOKUP(PV_DATA[[#This Row],[New Ark SKU]],Table9[New Ark SKU],Table9[Connector],,0)</f>
        <v>H4(Com)</v>
      </c>
      <c r="S963" s="989" t="str">
        <f>_xlfn.XLOOKUP(PV_DATA[[#This Row],[New Ark SKU]],Table9[New Ark SKU],Table9[Cable],,0)</f>
        <v>±1400mm</v>
      </c>
      <c r="T963" s="989">
        <v>650</v>
      </c>
      <c r="U963" s="1214">
        <f>720*6</f>
        <v>4320</v>
      </c>
      <c r="V963" s="459">
        <f>PV_DATA[[#This Row],[QUANTITY]]*PV_DATA[[#This Row],[WATT]]/1000000</f>
        <v>2.8079999999999998</v>
      </c>
      <c r="W963" s="716">
        <f>PV_DATA[[#This Row],[QUANTITY]]/PV_DATA[[#This Row],[Qty/Pallet]]</f>
        <v>120</v>
      </c>
      <c r="X963" s="1112">
        <f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15">
        <v>46248</v>
      </c>
      <c r="AC963" s="990">
        <f>IF(PV_DATA[[#This Row],[Pick-Up Date]]&lt;&gt;"",_xlfn.ISOWEEKNUM(PV_DATA[[#This Row],[Pick-Up Date]]),"")</f>
        <v>33</v>
      </c>
      <c r="AD963" s="463" t="s">
        <v>6385</v>
      </c>
      <c r="AE963" s="463" t="s">
        <v>6385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2">
        <f>IFERROR(VLOOKUP(AT963, Vessel!A:H, 8, FALSE), "")</f>
        <v>46302.875</v>
      </c>
      <c r="AN963" s="992" t="str">
        <f>IFERROR(IF(VLOOKUP(AT963,Vessel!A:I,9,FALSE)=0,"",VLOOKUP(AT963,Vessel!A:I,9,FALSE)),"")</f>
        <v/>
      </c>
      <c r="AO963" s="463" t="s">
        <v>402</v>
      </c>
      <c r="AP963" s="463" t="s">
        <v>6330</v>
      </c>
      <c r="AQ963" s="463" t="s">
        <v>80</v>
      </c>
      <c r="AR963" s="463" t="s">
        <v>6386</v>
      </c>
      <c r="AS963" s="463" t="s">
        <v>6387</v>
      </c>
      <c r="AT963" s="463" t="s">
        <v>6387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46305</v>
      </c>
      <c r="AZ96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46309.875</v>
      </c>
      <c r="BB963" s="989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6388</v>
      </c>
      <c r="B964" s="463" t="s">
        <v>61</v>
      </c>
      <c r="C964" s="463" t="str">
        <f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46188</v>
      </c>
      <c r="O964" s="463" t="s">
        <v>4526</v>
      </c>
      <c r="P964" s="463" t="s">
        <v>1002</v>
      </c>
      <c r="Q964" s="463" t="s">
        <v>330</v>
      </c>
      <c r="R964" s="463" t="str">
        <f>_xlfn.XLOOKUP(PV_DATA[[#This Row],[New Ark SKU]],Table9[New Ark SKU],Table9[Connector],,0)</f>
        <v>EVO2A</v>
      </c>
      <c r="S964" s="989" t="str">
        <f>_xlfn.XLOOKUP(PV_DATA[[#This Row],[New Ark SKU]],Table9[New Ark SKU],Table9[Cable],,0)</f>
        <v>±1400mm</v>
      </c>
      <c r="T964" s="989">
        <v>625</v>
      </c>
      <c r="U964" s="1214">
        <v>1440</v>
      </c>
      <c r="V964" s="459">
        <f>PV_DATA[[#This Row],[QUANTITY]]*PV_DATA[[#This Row],[WATT]]/1000000</f>
        <v>0.9</v>
      </c>
      <c r="W964" s="716">
        <f>PV_DATA[[#This Row],[QUANTITY]]/PV_DATA[[#This Row],[Qty/Pallet]]</f>
        <v>40</v>
      </c>
      <c r="X964" s="1112">
        <f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5848</v>
      </c>
      <c r="AB964" s="715">
        <v>46248</v>
      </c>
      <c r="AC964" s="990">
        <f>IF(PV_DATA[[#This Row],[Pick-Up Date]]&lt;&gt;"",_xlfn.ISOWEEKNUM(PV_DATA[[#This Row],[Pick-Up Date]]),"")</f>
        <v>33</v>
      </c>
      <c r="AD964" s="463" t="s">
        <v>6389</v>
      </c>
      <c r="AE964" s="463" t="s">
        <v>6389</v>
      </c>
      <c r="AF964" s="463" t="s">
        <v>61</v>
      </c>
      <c r="AG964" s="463" t="s">
        <v>61</v>
      </c>
      <c r="AH964" s="463" t="s">
        <v>105</v>
      </c>
      <c r="AI964" s="715">
        <v>46254</v>
      </c>
      <c r="AJ964" s="715"/>
      <c r="AK964" s="715">
        <f>IFERROR(IF(VLOOKUP(AT964,Vessel!A:F,5,FALSE)=0,"",VLOOKUP(AT964,Vessel!A:F,5,FALSE)),"")</f>
        <v>46254.49119212963</v>
      </c>
      <c r="AL964" s="715">
        <v>46298</v>
      </c>
      <c r="AM964" s="992">
        <f>IFERROR(VLOOKUP(AT964, Vessel!A:H, 8, FALSE), "")</f>
        <v>46302.875</v>
      </c>
      <c r="AN964" s="992" t="str">
        <f>IFERROR(IF(VLOOKUP(AT964,Vessel!A:I,9,FALSE)=0,"",VLOOKUP(AT964,Vessel!A:I,9,FALSE)),"")</f>
        <v/>
      </c>
      <c r="AO964" s="463" t="s">
        <v>402</v>
      </c>
      <c r="AP964" s="463" t="s">
        <v>6330</v>
      </c>
      <c r="AQ964" s="463" t="s">
        <v>80</v>
      </c>
      <c r="AR964" s="463" t="s">
        <v>6386</v>
      </c>
      <c r="AS964" s="463" t="s">
        <v>6387</v>
      </c>
      <c r="AT964" s="463" t="s">
        <v>6387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46311</v>
      </c>
      <c r="AZ96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46309.875</v>
      </c>
      <c r="BB964" s="989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42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6390</v>
      </c>
      <c r="B965" s="463" t="s">
        <v>61</v>
      </c>
      <c r="C965" s="463" t="str">
        <f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14">
        <v>45809</v>
      </c>
      <c r="O965" s="463" t="s">
        <v>4526</v>
      </c>
      <c r="P965" s="463" t="s">
        <v>965</v>
      </c>
      <c r="Q965" s="463" t="s">
        <v>966</v>
      </c>
      <c r="R965" s="463" t="str">
        <f>_xlfn.XLOOKUP(PV_DATA[[#This Row],[New Ark SKU]],Table9[New Ark SKU],Table9[Connector],,0)</f>
        <v>EVO2A</v>
      </c>
      <c r="S965" s="989" t="str">
        <f>_xlfn.XLOOKUP(PV_DATA[[#This Row],[New Ark SKU]],Table9[New Ark SKU],Table9[Cable],,0)</f>
        <v>±1200mm</v>
      </c>
      <c r="T965" s="989">
        <v>455</v>
      </c>
      <c r="U965" s="1214">
        <f>936*6</f>
        <v>5616</v>
      </c>
      <c r="V965" s="459">
        <f>PV_DATA[[#This Row],[QUANTITY]]*PV_DATA[[#This Row],[WATT]]/1000000</f>
        <v>2.5552800000000002</v>
      </c>
      <c r="W965" s="716">
        <f>PV_DATA[[#This Row],[QUANTITY]]/PV_DATA[[#This Row],[Qty/Pallet]]</f>
        <v>156</v>
      </c>
      <c r="X965" s="1112">
        <f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5780</v>
      </c>
      <c r="AB965" s="715">
        <v>46246</v>
      </c>
      <c r="AC965" s="990">
        <f>IF(PV_DATA[[#This Row],[Pick-Up Date]]&lt;&gt;"",_xlfn.ISOWEEKNUM(PV_DATA[[#This Row],[Pick-Up Date]]),"")</f>
        <v>33</v>
      </c>
      <c r="AD965" s="463" t="s">
        <v>6391</v>
      </c>
      <c r="AF965" s="463" t="s">
        <v>61</v>
      </c>
      <c r="AG965" s="463" t="s">
        <v>61</v>
      </c>
      <c r="AH965" s="463" t="s">
        <v>105</v>
      </c>
      <c r="AI965" s="715">
        <v>46253</v>
      </c>
      <c r="AJ965" s="715">
        <v>46260</v>
      </c>
      <c r="AK965" s="715">
        <v>46260</v>
      </c>
      <c r="AL965" s="715">
        <v>46313</v>
      </c>
      <c r="AM965" s="992"/>
      <c r="AN965" s="992"/>
      <c r="AP965" s="463" t="s">
        <v>6392</v>
      </c>
      <c r="AQ965" s="463" t="s">
        <v>161</v>
      </c>
      <c r="AR965" s="463" t="s">
        <v>6393</v>
      </c>
      <c r="AS965" s="463" t="s">
        <v>6394</v>
      </c>
      <c r="AT965" s="463" t="s">
        <v>6394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15"/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46304</v>
      </c>
      <c r="AZ9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5">
        <f>IFERROR(PV_DATA[[#This Row],[ODP ETA Port]]+PV_DATA[[#This Row],[Customs/Leg3 Assumption]],"n/a")</f>
        <v>46320</v>
      </c>
      <c r="BB965" s="989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 hidden="1">
      <c r="A966" s="463" t="s">
        <v>6395</v>
      </c>
      <c r="B966" s="463" t="s">
        <v>61</v>
      </c>
      <c r="C966" s="463" t="str">
        <f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46202</v>
      </c>
      <c r="O966" s="463" t="s">
        <v>284</v>
      </c>
      <c r="P966" s="732" t="s">
        <v>6157</v>
      </c>
      <c r="Q966" s="463" t="s">
        <v>1570</v>
      </c>
      <c r="R966" s="463" t="str">
        <f>_xlfn.XLOOKUP(PV_DATA[[#This Row],[New Ark SKU]],Table9[New Ark SKU],Table9[Connector],,0)</f>
        <v>EVO2A</v>
      </c>
      <c r="S966" s="989" t="str">
        <f>_xlfn.XLOOKUP(PV_DATA[[#This Row],[New Ark SKU]],Table9[New Ark SKU],Table9[Cable],,0)</f>
        <v>±1400mm</v>
      </c>
      <c r="T966" s="989">
        <v>650</v>
      </c>
      <c r="U966" s="1214">
        <f>720*3</f>
        <v>2160</v>
      </c>
      <c r="V966" s="459">
        <f>PV_DATA[[#This Row],[QUANTITY]]*PV_DATA[[#This Row],[WATT]]/1000000</f>
        <v>1.4039999999999999</v>
      </c>
      <c r="W966" s="716">
        <f>PV_DATA[[#This Row],[QUANTITY]]/PV_DATA[[#This Row],[Qty/Pallet]]</f>
        <v>60</v>
      </c>
      <c r="X966" s="1112">
        <f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15">
        <v>46248</v>
      </c>
      <c r="AC966" s="990">
        <f>IF(PV_DATA[[#This Row],[Pick-Up Date]]&lt;&gt;"",_xlfn.ISOWEEKNUM(PV_DATA[[#This Row],[Pick-Up Date]]),"")</f>
        <v>33</v>
      </c>
      <c r="AD966" s="463" t="s">
        <v>6396</v>
      </c>
      <c r="AE966" s="463" t="s">
        <v>6396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2">
        <f>IFERROR(VLOOKUP(AT966, Vessel!A:H, 8, FALSE), "")</f>
        <v>46321.791666666664</v>
      </c>
      <c r="AN966" s="992" t="str">
        <f>IFERROR(IF(VLOOKUP(AT966,Vessel!A:I,9,FALSE)=0,"",VLOOKUP(AT966,Vessel!A:I,9,FALSE)),"")</f>
        <v/>
      </c>
      <c r="AO966" s="463" t="s">
        <v>402</v>
      </c>
      <c r="AP966" s="463" t="s">
        <v>6330</v>
      </c>
      <c r="AQ966" s="993" t="s">
        <v>80</v>
      </c>
      <c r="AR966" s="463" t="s">
        <v>6397</v>
      </c>
      <c r="AS966" s="463" t="s">
        <v>6398</v>
      </c>
      <c r="AT966" s="463" t="s">
        <v>6398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46329.791666666664</v>
      </c>
      <c r="BB966" s="989">
        <f>YEAR(PV_DATA[[#This Row],[ETA for New Ark update]])</f>
        <v>2026</v>
      </c>
      <c r="BC966" s="463">
        <f>MONTH(PV_DATA[[#This Row],[ETA for New Ark update]])</f>
        <v>11</v>
      </c>
      <c r="BD966" s="463">
        <f>IFERROR(_xlfn.ISOWEEKNUM(PV_DATA[[#This Row],[ETA for New Ark update]]),0)</f>
        <v>45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6399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5491</v>
      </c>
      <c r="Q967" s="463" t="s">
        <v>5341</v>
      </c>
      <c r="R967" s="463" t="str">
        <f>_xlfn.XLOOKUP(PV_DATA[[#This Row],[New Ark SKU]],Table9[New Ark SKU],Table9[Connector],,0)</f>
        <v>H4(Com)</v>
      </c>
      <c r="S967" s="989" t="str">
        <f>_xlfn.XLOOKUP(PV_DATA[[#This Row],[New Ark SKU]],Table9[New Ark SKU],Table9[Cable],,0)</f>
        <v>±1400mm</v>
      </c>
      <c r="T967" s="989">
        <v>655</v>
      </c>
      <c r="U967" s="1214">
        <v>720</v>
      </c>
      <c r="V967" s="459">
        <f>PV_DATA[[#This Row],[QUANTITY]]*PV_DATA[[#This Row],[WATT]]/1000000</f>
        <v>0.47160000000000002</v>
      </c>
      <c r="W967" s="716">
        <f>PV_DATA[[#This Row],[QUANTITY]]/PV_DATA[[#This Row],[Qty/Pallet]]</f>
        <v>20</v>
      </c>
      <c r="X967" s="1112">
        <f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15">
        <v>46248</v>
      </c>
      <c r="AC967" s="990">
        <f>IF(PV_DATA[[#This Row],[Pick-Up Date]]&lt;&gt;"",_xlfn.ISOWEEKNUM(PV_DATA[[#This Row],[Pick-Up Date]]),"")</f>
        <v>33</v>
      </c>
      <c r="AD967" s="463" t="s">
        <v>6400</v>
      </c>
      <c r="AE967" s="463" t="s">
        <v>6400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46321</v>
      </c>
      <c r="AM967" s="992">
        <f>IFERROR(VLOOKUP(AT967, Vessel!A:H, 8, FALSE), "")</f>
        <v>46321.791666666664</v>
      </c>
      <c r="AN967" s="992" t="str">
        <f>IFERROR(IF(VLOOKUP(AT967,Vessel!A:I,9,FALSE)=0,"",VLOOKUP(AT967,Vessel!A:I,9,FALSE)),"")</f>
        <v/>
      </c>
      <c r="AO967" s="463" t="s">
        <v>402</v>
      </c>
      <c r="AP967" s="463" t="s">
        <v>6330</v>
      </c>
      <c r="AQ967" s="993" t="s">
        <v>80</v>
      </c>
      <c r="AR967" s="463" t="s">
        <v>6397</v>
      </c>
      <c r="AS967" s="463" t="s">
        <v>6398</v>
      </c>
      <c r="AT967" s="463" t="s">
        <v>6398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46329.791666666664</v>
      </c>
      <c r="BB967" s="989">
        <f>YEAR(PV_DATA[[#This Row],[ETA for New Ark update]])</f>
        <v>2026</v>
      </c>
      <c r="BC967" s="463">
        <f>MONTH(PV_DATA[[#This Row],[ETA for New Ark update]])</f>
        <v>11</v>
      </c>
      <c r="BD967" s="463">
        <f>IFERROR(_xlfn.ISOWEEKNUM(PV_DATA[[#This Row],[ETA for New Ark update]]),0)</f>
        <v>45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 hidden="1">
      <c r="A968" s="463" t="s">
        <v>6401</v>
      </c>
      <c r="B968" s="463" t="s">
        <v>61</v>
      </c>
      <c r="C968" s="463" t="str">
        <f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14">
        <v>46209</v>
      </c>
      <c r="O968" s="463" t="s">
        <v>284</v>
      </c>
      <c r="P968" s="463" t="s">
        <v>5491</v>
      </c>
      <c r="Q968" s="463" t="s">
        <v>5341</v>
      </c>
      <c r="R968" s="463" t="str">
        <f>_xlfn.XLOOKUP(PV_DATA[[#This Row],[New Ark SKU]],Table9[New Ark SKU],Table9[Connector],,0)</f>
        <v>H4(Com)</v>
      </c>
      <c r="S968" s="989" t="str">
        <f>_xlfn.XLOOKUP(PV_DATA[[#This Row],[New Ark SKU]],Table9[New Ark SKU],Table9[Cable],,0)</f>
        <v>±1400mm</v>
      </c>
      <c r="T968" s="989">
        <v>655</v>
      </c>
      <c r="U968" s="1214">
        <v>1440</v>
      </c>
      <c r="V968" s="459">
        <f>PV_DATA[[#This Row],[QUANTITY]]*PV_DATA[[#This Row],[WATT]]/1000000</f>
        <v>0.94320000000000004</v>
      </c>
      <c r="W968" s="716">
        <f>PV_DATA[[#This Row],[QUANTITY]]/PV_DATA[[#This Row],[Qty/Pallet]]</f>
        <v>40</v>
      </c>
      <c r="X968" s="1112">
        <f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15">
        <v>46248</v>
      </c>
      <c r="AC968" s="990">
        <f>IF(PV_DATA[[#This Row],[Pick-Up Date]]&lt;&gt;"",_xlfn.ISOWEEKNUM(PV_DATA[[#This Row],[Pick-Up Date]]),"")</f>
        <v>33</v>
      </c>
      <c r="AD968" s="463" t="s">
        <v>6402</v>
      </c>
      <c r="AE968" s="463" t="s">
        <v>6402</v>
      </c>
      <c r="AF968" s="463" t="s">
        <v>61</v>
      </c>
      <c r="AG968" s="463" t="s">
        <v>61</v>
      </c>
      <c r="AH968" s="463" t="s">
        <v>78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46309</v>
      </c>
      <c r="AM968" s="992">
        <f>IFERROR(VLOOKUP(AT968, Vessel!A:H, 8, FALSE), "")</f>
        <v>46316.25</v>
      </c>
      <c r="AN968" s="992" t="str">
        <f>IFERROR(IF(VLOOKUP(AT968,Vessel!A:I,9,FALSE)=0,"",VLOOKUP(AT968,Vessel!A:I,9,FALSE)),"")</f>
        <v/>
      </c>
      <c r="AO968" s="463" t="s">
        <v>402</v>
      </c>
      <c r="AP968" s="463" t="s">
        <v>6330</v>
      </c>
      <c r="AQ968" s="993" t="s">
        <v>80</v>
      </c>
      <c r="AR968" s="463" t="s">
        <v>6403</v>
      </c>
      <c r="AS968" s="463" t="s">
        <v>6404</v>
      </c>
      <c r="AT968" s="463" t="s">
        <v>6404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15">
        <f>IFERROR(PV_DATA[[#This Row],[ODP ETA Port]]+PV_DATA[[#This Row],[Customs/Leg3 Assumption]],"n/a")</f>
        <v>46324.25</v>
      </c>
      <c r="BB968" s="989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2" customFormat="1" ht="12" hidden="1" customHeight="1">
      <c r="A969" s="463" t="s">
        <v>6405</v>
      </c>
      <c r="B969" s="463" t="s">
        <v>61</v>
      </c>
      <c r="C969" s="463" t="str">
        <f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14">
        <v>46202</v>
      </c>
      <c r="O969" s="463" t="s">
        <v>284</v>
      </c>
      <c r="P969" s="732" t="s">
        <v>6157</v>
      </c>
      <c r="Q969" s="463" t="s">
        <v>1570</v>
      </c>
      <c r="R969" s="463" t="str">
        <f>_xlfn.XLOOKUP(PV_DATA[[#This Row],[New Ark SKU]],Table9[New Ark SKU],Table9[Connector],,0)</f>
        <v>EVO2A</v>
      </c>
      <c r="S969" s="989" t="str">
        <f>_xlfn.XLOOKUP(PV_DATA[[#This Row],[New Ark SKU]],Table9[New Ark SKU],Table9[Cable],,0)</f>
        <v>±1400mm</v>
      </c>
      <c r="T969" s="989">
        <v>650</v>
      </c>
      <c r="U969" s="1214">
        <v>720</v>
      </c>
      <c r="V969" s="459">
        <f>PV_DATA[[#This Row],[QUANTITY]]*PV_DATA[[#This Row],[WATT]]/1000000</f>
        <v>0.46800000000000003</v>
      </c>
      <c r="W969" s="716">
        <f>PV_DATA[[#This Row],[QUANTITY]]/PV_DATA[[#This Row],[Qty/Pallet]]</f>
        <v>20</v>
      </c>
      <c r="X969" s="1112">
        <f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5492</v>
      </c>
      <c r="AB969" s="715">
        <v>46248</v>
      </c>
      <c r="AC969" s="990">
        <f>IF(PV_DATA[[#This Row],[Pick-Up Date]]&lt;&gt;"",_xlfn.ISOWEEKNUM(PV_DATA[[#This Row],[Pick-Up Date]]),"")</f>
        <v>33</v>
      </c>
      <c r="AD969" s="463" t="s">
        <v>6406</v>
      </c>
      <c r="AE969" s="463" t="s">
        <v>6406</v>
      </c>
      <c r="AF969" s="463" t="s">
        <v>61</v>
      </c>
      <c r="AG969" s="463" t="s">
        <v>61</v>
      </c>
      <c r="AH969" s="463" t="s">
        <v>1561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46327</v>
      </c>
      <c r="AM969" s="992"/>
      <c r="AN969" s="992"/>
      <c r="AO969" s="463" t="s">
        <v>402</v>
      </c>
      <c r="AP969" s="463" t="s">
        <v>6330</v>
      </c>
      <c r="AQ969" s="993" t="s">
        <v>80</v>
      </c>
      <c r="AR969" s="463" t="s">
        <v>6407</v>
      </c>
      <c r="AS969" s="463" t="s">
        <v>6408</v>
      </c>
      <c r="AT969" s="463" t="s">
        <v>6408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15">
        <f>IFERROR(PV_DATA[[#This Row],[ODP ETA Port]]+PV_DATA[[#This Row],[Customs/Leg3 Assumption]],"n/a")</f>
        <v>46337</v>
      </c>
      <c r="BB969" s="989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21" hidden="1">
      <c r="A970" s="731" t="s">
        <v>6409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5661</v>
      </c>
      <c r="M970" s="463" t="s">
        <v>68</v>
      </c>
      <c r="N970" s="714">
        <v>46237</v>
      </c>
      <c r="O970" s="463" t="s">
        <v>4526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9" t="str">
        <f>_xlfn.XLOOKUP(PV_DATA[[#This Row],[New Ark SKU]],Table9[New Ark SKU],Table9[Cable],,0)</f>
        <v>±1200mm</v>
      </c>
      <c r="T970" s="989">
        <v>505</v>
      </c>
      <c r="U970" s="1214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12">
        <f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6410</v>
      </c>
      <c r="AB970" s="715">
        <v>46248</v>
      </c>
      <c r="AC970" s="990">
        <f>IF(PV_DATA[[#This Row],[Pick-Up Date]]&lt;&gt;"",_xlfn.ISOWEEKNUM(PV_DATA[[#This Row],[Pick-Up Date]]),"")</f>
        <v>33</v>
      </c>
      <c r="AD970" s="463" t="s">
        <v>6411</v>
      </c>
      <c r="AE970" s="463" t="s">
        <v>6411</v>
      </c>
      <c r="AF970" s="463" t="s">
        <v>61</v>
      </c>
      <c r="AG970" s="463" t="s">
        <v>61</v>
      </c>
      <c r="AH970" s="463" t="s">
        <v>456</v>
      </c>
      <c r="AI970" s="715">
        <v>46254</v>
      </c>
      <c r="AJ970" s="715">
        <f>IFERROR(VLOOKUP(AT970, Vessel!A:D, 4, FALSE), "")</f>
        <v>46254.666666666664</v>
      </c>
      <c r="AK970" s="715">
        <f>IFERROR(IF(VLOOKUP(AT970,Vessel!A:F,5,FALSE)=0,"",VLOOKUP(AT970,Vessel!A:F,5,FALSE)),"")</f>
        <v>46254.49119212963</v>
      </c>
      <c r="AL970" s="715">
        <v>46306</v>
      </c>
      <c r="AM970" s="992">
        <f>IFERROR(VLOOKUP(AT970, Vessel!A:H, 8, FALSE), "")</f>
        <v>46313.125</v>
      </c>
      <c r="AN970" s="992" t="str">
        <f>IFERROR(IF(VLOOKUP(AT970,Vessel!A:I,9,FALSE)=0,"",VLOOKUP(AT970,Vessel!A:I,9,FALSE)),"")</f>
        <v/>
      </c>
      <c r="AO970" s="463" t="s">
        <v>402</v>
      </c>
      <c r="AP970" s="463" t="s">
        <v>6330</v>
      </c>
      <c r="AQ970" s="463" t="s">
        <v>80</v>
      </c>
      <c r="AR970" s="463" t="s">
        <v>6412</v>
      </c>
      <c r="AS970" s="1017" t="s">
        <v>6413</v>
      </c>
      <c r="AT970" s="1017" t="s">
        <v>6413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58.633807870370219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46313.125</v>
      </c>
      <c r="AX9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46328</v>
      </c>
      <c r="AZ9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46320.125</v>
      </c>
      <c r="BB970" s="989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91" t="str">
        <f>_xlfn.XLOOKUP(PV_DATA[[#This Row],[PORT DESTINATION]],Table12[PORT DESTINATION],Table12[Cosco Line],,0)</f>
        <v>AEU</v>
      </c>
    </row>
    <row r="971" spans="1:60" s="463" customFormat="1" ht="21" hidden="1">
      <c r="A971" s="731" t="s">
        <v>6414</v>
      </c>
      <c r="B971" s="463" t="s">
        <v>61</v>
      </c>
      <c r="C971" s="463" t="str">
        <f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5661</v>
      </c>
      <c r="M971" s="463" t="s">
        <v>68</v>
      </c>
      <c r="N971" s="714">
        <v>46237</v>
      </c>
      <c r="O971" s="463" t="s">
        <v>4526</v>
      </c>
      <c r="P971" s="463" t="s">
        <v>1151</v>
      </c>
      <c r="Q971" s="463" t="s">
        <v>421</v>
      </c>
      <c r="R971" s="463" t="str">
        <f>_xlfn.XLOOKUP(PV_DATA[[#This Row],[New Ark SKU]],Table9[New Ark SKU],Table9[Connector],,0)</f>
        <v>EVO2A</v>
      </c>
      <c r="S971" s="989" t="str">
        <f>_xlfn.XLOOKUP(PV_DATA[[#This Row],[New Ark SKU]],Table9[New Ark SKU],Table9[Cable],,0)</f>
        <v>±1200mm</v>
      </c>
      <c r="T971" s="989">
        <v>505</v>
      </c>
      <c r="U971" s="1214">
        <v>864</v>
      </c>
      <c r="V971" s="459">
        <f>PV_DATA[[#This Row],[QUANTITY]]*PV_DATA[[#This Row],[WATT]]/1000000</f>
        <v>0.43631999999999999</v>
      </c>
      <c r="W971" s="716">
        <f>PV_DATA[[#This Row],[QUANTITY]]/PV_DATA[[#This Row],[Qty/Pallet]]</f>
        <v>24</v>
      </c>
      <c r="X971" s="1112">
        <f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6373</v>
      </c>
      <c r="AB971" s="715">
        <v>46253</v>
      </c>
      <c r="AC971" s="990">
        <f>IF(PV_DATA[[#This Row],[Pick-Up Date]]&lt;&gt;"",_xlfn.ISOWEEKNUM(PV_DATA[[#This Row],[Pick-Up Date]]),"")</f>
        <v>34</v>
      </c>
      <c r="AD971" s="463" t="s">
        <v>6415</v>
      </c>
      <c r="AE971" s="463" t="s">
        <v>6415</v>
      </c>
      <c r="AF971" s="463" t="s">
        <v>61</v>
      </c>
      <c r="AG971" s="463" t="s">
        <v>61</v>
      </c>
      <c r="AH971" s="463" t="s">
        <v>456</v>
      </c>
      <c r="AI971" s="715">
        <v>46258</v>
      </c>
      <c r="AJ971" s="715">
        <v>46259</v>
      </c>
      <c r="AK971" s="715">
        <f>IFERROR(IF(VLOOKUP(AT971,Vessel!A:F,5,FALSE)=0,"",VLOOKUP(AT971,Vessel!A:F,5,FALSE)),"")</f>
        <v>46259.371157407404</v>
      </c>
      <c r="AL971" s="715">
        <v>46313</v>
      </c>
      <c r="AM971" s="992">
        <f>IFERROR(VLOOKUP(AT971, Vessel!A:H, 8, FALSE), "")</f>
        <v>46313.041666666664</v>
      </c>
      <c r="AN971" s="992" t="str">
        <f>IFERROR(IF(VLOOKUP(AT971,Vessel!A:I,9,FALSE)=0,"",VLOOKUP(AT971,Vessel!A:I,9,FALSE)),"")</f>
        <v/>
      </c>
      <c r="AO971" s="463" t="s">
        <v>402</v>
      </c>
      <c r="AP971" s="463" t="s">
        <v>6335</v>
      </c>
      <c r="AQ971" s="463" t="s">
        <v>80</v>
      </c>
      <c r="AR971" s="1017" t="s">
        <v>6416</v>
      </c>
      <c r="AS971" s="463" t="s">
        <v>6417</v>
      </c>
      <c r="AT971" s="463" t="s">
        <v>6417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15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15">
        <f>IF(ISERROR(PV_DATA[[#This Row],[New Ark PO status]]),"",_xlfn.XLOOKUP(PV_DATA[[#This Row],[SPTN-PVHK New Ark PO'#]],New_Ark_Data[Purchase order Number],New_Ark_Data[Estimated time of arrival],"",0))</f>
        <v>46321</v>
      </c>
      <c r="AZ9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15">
        <f>IFERROR(PV_DATA[[#This Row],[ODP ETA Port]]+PV_DATA[[#This Row],[Customs/Leg3 Assumption]],"n/a")</f>
        <v>46320.041666666664</v>
      </c>
      <c r="BB971" s="989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991" t="str">
        <f>_xlfn.XLOOKUP(PV_DATA[[#This Row],[PORT DESTINATION]],Table12[PORT DESTINATION],Table12[Cosco Line],,0)</f>
        <v>AEU</v>
      </c>
    </row>
    <row r="972" spans="1:60" s="432" customFormat="1" ht="10.5" hidden="1">
      <c r="A972" s="1028" t="s">
        <v>6418</v>
      </c>
      <c r="B972" s="728" t="s">
        <v>111</v>
      </c>
      <c r="C972" s="440" t="str">
        <f>IFERROR(LEFT(PV_DATA[[#This Row],[TCL REFERENCE]],FIND(".",PV_DATA[[#This Row],[TCL REFERENCE]],1)-1),"Main Line")</f>
        <v>26Jul019</v>
      </c>
      <c r="D972" s="728" t="s">
        <v>63</v>
      </c>
      <c r="E972" s="440" t="s">
        <v>144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6419</v>
      </c>
      <c r="I972" s="440" t="s">
        <v>882</v>
      </c>
      <c r="J972" s="440" t="s">
        <v>6419</v>
      </c>
      <c r="K972" s="431" t="s">
        <v>6420</v>
      </c>
      <c r="L972" s="625">
        <v>1</v>
      </c>
      <c r="M972" s="431" t="s">
        <v>840</v>
      </c>
      <c r="N972" s="1195">
        <v>46234</v>
      </c>
      <c r="O972" s="625" t="s">
        <v>5374</v>
      </c>
      <c r="P972" s="625" t="s">
        <v>6253</v>
      </c>
      <c r="Q972" s="621" t="s">
        <v>6254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480</v>
      </c>
      <c r="U972" s="1156">
        <f>936*2</f>
        <v>1872</v>
      </c>
      <c r="V972" s="626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14">
        <f>PV_DATA[[#This Row],[QUANTITY]]/PV_DATA[[#This Row],[Qty/CT]]</f>
        <v>2</v>
      </c>
      <c r="Y972" s="432" t="s">
        <v>2464</v>
      </c>
      <c r="Z972" s="432" t="str">
        <f t="shared" si="15"/>
        <v>IN-TRANSIT</v>
      </c>
      <c r="AA972" s="621" t="s">
        <v>6421</v>
      </c>
      <c r="AB972" s="628">
        <v>46262</v>
      </c>
      <c r="AC972" s="629">
        <f>IF(PV_DATA[[#This Row],[Pick-Up Date]]&lt;&gt;"",_xlfn.ISOWEEKNUM(PV_DATA[[#This Row],[Pick-Up Date]]),"")</f>
        <v>35</v>
      </c>
      <c r="AD972" s="621" t="s">
        <v>6422</v>
      </c>
      <c r="AE972" s="621"/>
      <c r="AF972" s="621" t="s">
        <v>122</v>
      </c>
      <c r="AG972" s="621" t="s">
        <v>123</v>
      </c>
      <c r="AH972" s="432" t="s">
        <v>356</v>
      </c>
      <c r="AI972" s="1081">
        <v>46269</v>
      </c>
      <c r="AJ972" s="628">
        <f>IFERROR(VLOOKUP(AT972, Vessel!A:D, 4, FALSE), "")</f>
        <v>46278.8125</v>
      </c>
      <c r="AK972" s="442">
        <f>IFERROR(IF(VLOOKUP(AT972,Vessel!A:F,5,FALSE)=0,"",VLOOKUP(AT972,Vessel!A:F,5,FALSE)),"")</f>
        <v>46278.838460648149</v>
      </c>
      <c r="AL972" s="628">
        <v>46313</v>
      </c>
      <c r="AM972" s="628">
        <v>46328</v>
      </c>
      <c r="AN972" s="588"/>
      <c r="AO972" s="621"/>
      <c r="AP972" s="621" t="s">
        <v>6423</v>
      </c>
      <c r="AQ972" s="630" t="s">
        <v>80</v>
      </c>
      <c r="AR972" s="621" t="s">
        <v>6424</v>
      </c>
      <c r="AS972" s="621" t="s">
        <v>6425</v>
      </c>
      <c r="AT972" s="621" t="s">
        <v>6425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49.161539351851388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46313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28">
        <f>IFERROR(PV_DATA[[#This Row],[ODP ETA Port]]+PV_DATA[[#This Row],[Customs/Leg3 Assumption]],"n/a")</f>
        <v>46328</v>
      </c>
      <c r="BB972" s="622">
        <f>YEAR(PV_DATA[[#This Row],[ETA for New Ark update]])</f>
        <v>2026</v>
      </c>
      <c r="BC972" s="621">
        <f>MONTH(PV_DATA[[#This Row],[ETA for New Ark update]])</f>
        <v>11</v>
      </c>
      <c r="BD972" s="621">
        <f>IFERROR(_xlfn.ISOWEEKNUM(PV_DATA[[#This Row],[ETA for New Ark update]]),0)</f>
        <v>45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White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994" t="s">
        <v>6426</v>
      </c>
      <c r="B973" s="728" t="s">
        <v>1757</v>
      </c>
      <c r="C973" s="440" t="str">
        <f>IFERROR(LEFT(PV_DATA[[#This Row],[TCL REFERENCE]],FIND(".",PV_DATA[[#This Row],[TCL REFERENCE]],1)-1),"Main Line")</f>
        <v>26Jul017</v>
      </c>
      <c r="D973" s="728" t="s">
        <v>63</v>
      </c>
      <c r="E973" s="440" t="s">
        <v>64</v>
      </c>
      <c r="F973" s="728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6191</v>
      </c>
      <c r="K973" s="431"/>
      <c r="L973" s="625"/>
      <c r="M973" s="431" t="s">
        <v>68</v>
      </c>
      <c r="N973" s="1195" t="s">
        <v>6174</v>
      </c>
      <c r="O973" s="625" t="s">
        <v>284</v>
      </c>
      <c r="P973" s="625" t="s">
        <v>5846</v>
      </c>
      <c r="Q973" s="621" t="s">
        <v>5847</v>
      </c>
      <c r="R973" s="621" t="str">
        <f>_xlfn.XLOOKUP(PV_DATA[[#This Row],[New Ark SKU]],Table9[New Ark SKU],Table9[Connector],,0)</f>
        <v>EVO2A</v>
      </c>
      <c r="S973" s="622" t="str">
        <f>_xlfn.XLOOKUP(PV_DATA[[#This Row],[New Ark SKU]],Table9[New Ark SKU],Table9[Cable],,0)</f>
        <v>±1200mm</v>
      </c>
      <c r="T973" s="622">
        <v>485</v>
      </c>
      <c r="U973" s="1212">
        <v>2808</v>
      </c>
      <c r="V973" s="626">
        <f>PV_DATA[[#This Row],[QUANTITY]]*PV_DATA[[#This Row],[WATT]]/1000000</f>
        <v>1.36188</v>
      </c>
      <c r="W973" s="467">
        <f>PV_DATA[[#This Row],[QUANTITY]]/36</f>
        <v>78</v>
      </c>
      <c r="X973" s="1118">
        <f>PV_DATA[[#This Row],[QUANTITY]]/PV_DATA[[#This Row],[Qty/CT]]</f>
        <v>3</v>
      </c>
      <c r="Y973" s="432" t="s">
        <v>2464</v>
      </c>
      <c r="Z973" s="432" t="str">
        <f t="shared" si="15"/>
        <v/>
      </c>
      <c r="AA973" s="858">
        <v>46257</v>
      </c>
      <c r="AB973" s="628">
        <v>46262</v>
      </c>
      <c r="AC973" s="629">
        <f>IF(PV_DATA[[#This Row],[Pick-Up Date]]&lt;&gt;"",_xlfn.ISOWEEKNUM(PV_DATA[[#This Row],[Pick-Up Date]]),"")</f>
        <v>35</v>
      </c>
      <c r="AD973" s="432" t="s">
        <v>6427</v>
      </c>
      <c r="AE973" s="621"/>
      <c r="AF973" s="621" t="s">
        <v>5850</v>
      </c>
      <c r="AG973" s="621" t="s">
        <v>123</v>
      </c>
      <c r="AH973" s="432" t="s">
        <v>456</v>
      </c>
      <c r="AI973" s="922">
        <v>46269</v>
      </c>
      <c r="AJ973" s="628">
        <f>IFERROR(VLOOKUP(AT973, Vessel!A:D, 4, FALSE), "")</f>
        <v>46282.395833333336</v>
      </c>
      <c r="AK973" s="442" t="str">
        <f>IFERROR(IF(VLOOKUP(AT973,Vessel!A:F,5,FALSE)=0,"",VLOOKUP(AT973,Vessel!A:F,5,FALSE)),"")</f>
        <v/>
      </c>
      <c r="AL973" s="1275">
        <v>46306</v>
      </c>
      <c r="AM973" s="628"/>
      <c r="AN973" s="588" t="str">
        <f>IFERROR(IF(VLOOKUP(AT973,Vessel!A:I,9,FALSE)=0,"",VLOOKUP(AT973,Vessel!A:I,9,FALSE)),"")</f>
        <v/>
      </c>
      <c r="AO973" s="621"/>
      <c r="AP973" s="621" t="s">
        <v>6423</v>
      </c>
      <c r="AQ973" s="630" t="s">
        <v>80</v>
      </c>
      <c r="AR973" s="621" t="s">
        <v>6428</v>
      </c>
      <c r="AS973" s="621" t="s">
        <v>6429</v>
      </c>
      <c r="AT973" s="621" t="s">
        <v>6429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23.604166666664241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46314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46313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42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936</v>
      </c>
      <c r="BG973" s="621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31" t="s">
        <v>6430</v>
      </c>
      <c r="B974" s="728" t="s">
        <v>111</v>
      </c>
      <c r="C974" s="728" t="str">
        <f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25" t="s">
        <v>550</v>
      </c>
      <c r="P974" s="625" t="s">
        <v>2134</v>
      </c>
      <c r="Q974" s="621" t="s">
        <v>2135</v>
      </c>
      <c r="R974" s="621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2">
        <v>515</v>
      </c>
      <c r="U974" s="1156">
        <f>792*2</f>
        <v>1584</v>
      </c>
      <c r="V974" s="626">
        <f>PV_DATA[[#This Row],[QUANTITY]]*PV_DATA[[#This Row],[WATT]]/1000000</f>
        <v>0.81576000000000004</v>
      </c>
      <c r="W974" s="627">
        <f>PV_DATA[[#This Row],[QUANTITY]]/PV_DATA[[#This Row],[Qty/Pallet]]</f>
        <v>44</v>
      </c>
      <c r="X974" s="1114">
        <f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5848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6431</v>
      </c>
      <c r="AE974" s="621"/>
      <c r="AF974" s="621" t="s">
        <v>122</v>
      </c>
      <c r="AG974" s="621" t="s">
        <v>123</v>
      </c>
      <c r="AH974" s="432" t="s">
        <v>105</v>
      </c>
      <c r="AI974" s="922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09">
        <v>46302</v>
      </c>
      <c r="AM974" s="1381">
        <f>IFERROR(VLOOKUP(AT974, Vessel!A:H, 8, FALSE), "")</f>
        <v>46309.333333333336</v>
      </c>
      <c r="AN974" s="588" t="str">
        <f>IFERROR(IF(VLOOKUP(AT974,Vessel!A:I,9,FALSE)=0,"",VLOOKUP(AT974,Vessel!A:I,9,FALSE)),"")</f>
        <v/>
      </c>
      <c r="AO974" s="621"/>
      <c r="AP974" s="621" t="s">
        <v>6432</v>
      </c>
      <c r="AQ974" s="432" t="s">
        <v>80</v>
      </c>
      <c r="AR974" s="621" t="s">
        <v>6433</v>
      </c>
      <c r="AS974" s="621" t="s">
        <v>6434</v>
      </c>
      <c r="AT974" s="432" t="s">
        <v>6434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46311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28">
        <f>IFERROR(PV_DATA[[#This Row],[ODP ETA Port]]+PV_DATA[[#This Row],[Customs/Leg3 Assumption]],"n/a")</f>
        <v>46316.333333333336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43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6435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6206</v>
      </c>
      <c r="J975" s="440" t="s">
        <v>670</v>
      </c>
      <c r="K975" s="431" t="s">
        <v>5887</v>
      </c>
      <c r="L975" s="625">
        <v>22</v>
      </c>
      <c r="M975" s="431" t="s">
        <v>4962</v>
      </c>
      <c r="N975" s="1195"/>
      <c r="O975" s="625" t="s">
        <v>4526</v>
      </c>
      <c r="P975" s="625" t="s">
        <v>6207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56">
        <f>720*3</f>
        <v>2160</v>
      </c>
      <c r="V975" s="626">
        <f>PV_DATA[[#This Row],[QUANTITY]]*PV_DATA[[#This Row],[WATT]]/1000000</f>
        <v>1.35</v>
      </c>
      <c r="W975" s="467">
        <f>PV_DATA[[#This Row],[QUANTITY]]/36</f>
        <v>60</v>
      </c>
      <c r="X975" s="1118">
        <f>PV_DATA[[#This Row],[QUANTITY]]/PV_DATA[[#This Row],[Qty/CT]]</f>
        <v>3</v>
      </c>
      <c r="Y975" s="432" t="s">
        <v>6233</v>
      </c>
      <c r="Z975" s="432" t="str">
        <f t="shared" si="15"/>
        <v>IN-TRANSIT</v>
      </c>
      <c r="AA975" s="858">
        <v>46251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6436</v>
      </c>
      <c r="AE975" s="621"/>
      <c r="AF975" s="621" t="s">
        <v>122</v>
      </c>
      <c r="AG975" s="621" t="s">
        <v>122</v>
      </c>
      <c r="AH975" s="432" t="s">
        <v>105</v>
      </c>
      <c r="AI975" s="1081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46302</v>
      </c>
      <c r="AM975" s="588">
        <f>IFERROR(VLOOKUP(AT975, Vessel!A:H, 8, FALSE), "")</f>
        <v>46309.333333333336</v>
      </c>
      <c r="AN975" s="588" t="str">
        <f>IFERROR(IF(VLOOKUP(AT975,Vessel!A:I,9,FALSE)=0,"",VLOOKUP(AT975,Vessel!A:I,9,FALSE)),"")</f>
        <v/>
      </c>
      <c r="AO975" s="621"/>
      <c r="AP975" s="621" t="s">
        <v>6432</v>
      </c>
      <c r="AQ975" s="432" t="s">
        <v>80</v>
      </c>
      <c r="AR975" s="621" t="s">
        <v>6437</v>
      </c>
      <c r="AS975" s="621" t="s">
        <v>6438</v>
      </c>
      <c r="AT975" s="432" t="s">
        <v>6434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46305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46309.333333333336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42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6439</v>
      </c>
      <c r="B976" s="728" t="s">
        <v>111</v>
      </c>
      <c r="C976" s="440" t="str">
        <f>IFERROR(LEFT(PV_DATA[[#This Row],[TCL REFERENCE]],FIND(".",PV_DATA[[#This Row],[TCL REFERENCE]],1)-1),"Main Line")</f>
        <v>26Aug010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6206</v>
      </c>
      <c r="J976" s="440" t="s">
        <v>670</v>
      </c>
      <c r="K976" s="431" t="s">
        <v>5887</v>
      </c>
      <c r="L976" s="625">
        <v>14</v>
      </c>
      <c r="M976" s="431" t="s">
        <v>4962</v>
      </c>
      <c r="N976" s="1195"/>
      <c r="O976" s="625" t="s">
        <v>4526</v>
      </c>
      <c r="P976" s="625" t="s">
        <v>6207</v>
      </c>
      <c r="Q976" s="621" t="s">
        <v>330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625</v>
      </c>
      <c r="U976" s="1156">
        <v>7920</v>
      </c>
      <c r="V976" s="626">
        <f>PV_DATA[[#This Row],[QUANTITY]]*PV_DATA[[#This Row],[WATT]]/1000000</f>
        <v>4.95</v>
      </c>
      <c r="W976" s="467">
        <f>PV_DATA[[#This Row],[QUANTITY]]/36</f>
        <v>220</v>
      </c>
      <c r="X976" s="1118">
        <f>PV_DATA[[#This Row],[QUANTITY]]/PV_DATA[[#This Row],[Qty/CT]]</f>
        <v>11</v>
      </c>
      <c r="Y976" s="432" t="s">
        <v>6208</v>
      </c>
      <c r="Z976" s="432" t="str">
        <f t="shared" si="15"/>
        <v>IN-TRANSIT</v>
      </c>
      <c r="AA976" s="858">
        <v>46261</v>
      </c>
      <c r="AB976" s="628">
        <v>46259</v>
      </c>
      <c r="AC976" s="629">
        <f>IF(PV_DATA[[#This Row],[Pick-Up Date]]&lt;&gt;"",_xlfn.ISOWEEKNUM(PV_DATA[[#This Row],[Pick-Up Date]]),"")</f>
        <v>35</v>
      </c>
      <c r="AD976" s="621" t="s">
        <v>6440</v>
      </c>
      <c r="AE976" s="621"/>
      <c r="AF976" s="621" t="s">
        <v>122</v>
      </c>
      <c r="AG976" s="621" t="s">
        <v>122</v>
      </c>
      <c r="AH976" s="432" t="s">
        <v>105</v>
      </c>
      <c r="AI976" s="1081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28">
        <v>46303</v>
      </c>
      <c r="AM976" s="628"/>
      <c r="AN976" s="588" t="str">
        <f>IFERROR(IF(VLOOKUP(AT976,Vessel!A:I,9,FALSE)=0,"",VLOOKUP(AT976,Vessel!A:I,9,FALSE)),"")</f>
        <v/>
      </c>
      <c r="AO976" s="621"/>
      <c r="AP976" s="621" t="s">
        <v>6335</v>
      </c>
      <c r="AQ976" s="630" t="s">
        <v>80</v>
      </c>
      <c r="AR976" s="621" t="s">
        <v>6441</v>
      </c>
      <c r="AS976" s="621" t="s">
        <v>6442</v>
      </c>
      <c r="AT976" s="432" t="s">
        <v>6442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46303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46303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29" t="s">
        <v>6443</v>
      </c>
      <c r="B977" s="728" t="s">
        <v>111</v>
      </c>
      <c r="C977" s="440" t="str">
        <f>IFERROR(LEFT(PV_DATA[[#This Row],[TCL REFERENCE]],FIND(".",PV_DATA[[#This Row],[TCL REFERENCE]],1)-1),"Main Line")</f>
        <v>26Aug025</v>
      </c>
      <c r="D977" s="728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6206</v>
      </c>
      <c r="J977" s="440" t="s">
        <v>670</v>
      </c>
      <c r="K977" s="431" t="s">
        <v>6238</v>
      </c>
      <c r="L977" s="625">
        <v>18</v>
      </c>
      <c r="M977" s="431" t="s">
        <v>4962</v>
      </c>
      <c r="N977" s="1195"/>
      <c r="O977" s="625" t="s">
        <v>4526</v>
      </c>
      <c r="P977" s="625" t="s">
        <v>6444</v>
      </c>
      <c r="Q977" s="621" t="s">
        <v>4593</v>
      </c>
      <c r="R977" s="621" t="str">
        <f>_xlfn.XLOOKUP(PV_DATA[[#This Row],[New Ark SKU]],Table9[New Ark SKU],Table9[Connector],,0)</f>
        <v>H4(Com)</v>
      </c>
      <c r="S977" s="622" t="str">
        <f>_xlfn.XLOOKUP(PV_DATA[[#This Row],[New Ark SKU]],Table9[New Ark SKU],Table9[Cable],,0)</f>
        <v>+400mm/-200mm</v>
      </c>
      <c r="T977" s="622">
        <v>630</v>
      </c>
      <c r="U977" s="1212">
        <f>720*8</f>
        <v>5760</v>
      </c>
      <c r="V977" s="626">
        <f>PV_DATA[[#This Row],[QUANTITY]]*PV_DATA[[#This Row],[WATT]]/1000000</f>
        <v>3.6288</v>
      </c>
      <c r="W977" s="467">
        <f>PV_DATA[[#This Row],[QUANTITY]]/36</f>
        <v>160</v>
      </c>
      <c r="X977" s="1118">
        <f>PV_DATA[[#This Row],[QUANTITY]]/PV_DATA[[#This Row],[Qty/CT]]</f>
        <v>8</v>
      </c>
      <c r="Y977" s="432" t="s">
        <v>6233</v>
      </c>
      <c r="Z977" s="432" t="str">
        <f t="shared" si="15"/>
        <v>IN-TRANSIT</v>
      </c>
      <c r="AA977" s="858">
        <v>46251</v>
      </c>
      <c r="AB977" s="628">
        <v>46263</v>
      </c>
      <c r="AC977" s="629">
        <f>IF(PV_DATA[[#This Row],[Pick-Up Date]]&lt;&gt;"",_xlfn.ISOWEEKNUM(PV_DATA[[#This Row],[Pick-Up Date]]),"")</f>
        <v>35</v>
      </c>
      <c r="AD977" s="621" t="s">
        <v>6445</v>
      </c>
      <c r="AE977" s="621"/>
      <c r="AF977" s="621" t="s">
        <v>122</v>
      </c>
      <c r="AG977" s="621" t="s">
        <v>122</v>
      </c>
      <c r="AH977" s="432" t="s">
        <v>105</v>
      </c>
      <c r="AI977" s="628">
        <v>46270</v>
      </c>
      <c r="AJ977" s="628">
        <v>46275</v>
      </c>
      <c r="AK977" s="628">
        <v>46274</v>
      </c>
      <c r="AL977" s="628">
        <v>46302</v>
      </c>
      <c r="AM977" s="628"/>
      <c r="AN977" s="588"/>
      <c r="AO977" s="621"/>
      <c r="AP977" s="621" t="s">
        <v>6432</v>
      </c>
      <c r="AQ977" s="630" t="s">
        <v>161</v>
      </c>
      <c r="AR977" s="621" t="s">
        <v>6446</v>
      </c>
      <c r="AS977" s="621" t="s">
        <v>6447</v>
      </c>
      <c r="AT977" s="432" t="s">
        <v>6447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7" s="621"/>
      <c r="AW977" s="628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28">
        <f>IF(ISERROR(PV_DATA[[#This Row],[New Ark PO status]]),"",_xlfn.XLOOKUP(PV_DATA[[#This Row],[SPTN-PVHK New Ark PO'#]],New_Ark_Data[Purchase order Number],New_Ark_Data[Estimated time of arrival],"",0))</f>
        <v>46302</v>
      </c>
      <c r="AZ97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28">
        <f>IFERROR(PV_DATA[[#This Row],[ODP ETA Port]]+PV_DATA[[#This Row],[Customs/Leg3 Assumption]],"n/a")</f>
        <v>46302</v>
      </c>
      <c r="BB977" s="622">
        <f>YEAR(PV_DATA[[#This Row],[ETA for New Ark update]])</f>
        <v>2026</v>
      </c>
      <c r="BC977" s="621">
        <f>MONTH(PV_DATA[[#This Row],[ETA for New Ark update]])</f>
        <v>10</v>
      </c>
      <c r="BD977" s="621">
        <f>IFERROR(_xlfn.ISOWEEKNUM(PV_DATA[[#This Row],[ETA for New Ark update]]),0)</f>
        <v>41</v>
      </c>
      <c r="BE977" s="621">
        <f>_xlfn.XLOOKUP(PV_DATA[[#This Row],[New Ark SKU]],Table9[New Ark SKU],Table9[Total PCS per Pallet],,0)</f>
        <v>36</v>
      </c>
      <c r="BF977" s="621">
        <f>_xlfn.XLOOKUP(PV_DATA[[#This Row],[New Ark SKU]],Table9[New Ark SKU],Table9[Total PCS per 40HQ Container],,0)</f>
        <v>720</v>
      </c>
      <c r="BG977" s="621" t="str">
        <f>_xlfn.XLOOKUP(PV_DATA[[#This Row],[New Ark SKU]],Table9[New Ark SKU],Table9[Back Glass],,0)</f>
        <v>Redirection Film</v>
      </c>
      <c r="BH977" s="631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6448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28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6206</v>
      </c>
      <c r="J978" s="728" t="s">
        <v>670</v>
      </c>
      <c r="K978" s="431" t="s">
        <v>5887</v>
      </c>
      <c r="L978" s="431">
        <v>12</v>
      </c>
      <c r="M978" s="431" t="s">
        <v>4962</v>
      </c>
      <c r="N978" s="433"/>
      <c r="O978" s="431" t="s">
        <v>4526</v>
      </c>
      <c r="P978" s="431" t="s">
        <v>6207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212">
        <f>720*5</f>
        <v>3600</v>
      </c>
      <c r="V978" s="449">
        <f>PV_DATA[[#This Row],[QUANTITY]]*PV_DATA[[#This Row],[WATT]]/1000000</f>
        <v>2.25</v>
      </c>
      <c r="W978" s="627">
        <f>PV_DATA[[#This Row],[QUANTITY]]/36</f>
        <v>100</v>
      </c>
      <c r="X978" s="1114">
        <f>PV_DATA[[#This Row],[QUANTITY]]/PV_DATA[[#This Row],[Qty/CT]]</f>
        <v>5</v>
      </c>
      <c r="Y978" s="432" t="s">
        <v>6208</v>
      </c>
      <c r="Z978" s="432" t="str">
        <f t="shared" si="15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6449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442"/>
      <c r="AN978" s="588"/>
      <c r="AP978" s="432" t="s">
        <v>6450</v>
      </c>
      <c r="AQ978" s="630" t="s">
        <v>161</v>
      </c>
      <c r="AR978" s="432" t="s">
        <v>6451</v>
      </c>
      <c r="AS978" s="432" t="s">
        <v>6452</v>
      </c>
      <c r="AT978" s="432" t="s">
        <v>6452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730" t="s">
        <v>6453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6206</v>
      </c>
      <c r="J979" s="440" t="s">
        <v>670</v>
      </c>
      <c r="K979" s="431" t="s">
        <v>6238</v>
      </c>
      <c r="L979" s="431">
        <v>21</v>
      </c>
      <c r="M979" s="431" t="s">
        <v>4962</v>
      </c>
      <c r="N979" s="433"/>
      <c r="O979" s="431" t="s">
        <v>4526</v>
      </c>
      <c r="P979" s="431" t="s">
        <v>6207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212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14">
        <f>PV_DATA[[#This Row],[QUANTITY]]/PV_DATA[[#This Row],[Qty/CT]]</f>
        <v>5</v>
      </c>
      <c r="Y979" s="432" t="s">
        <v>6208</v>
      </c>
      <c r="Z979" s="432" t="str">
        <f t="shared" si="15"/>
        <v>IN-TRANSIT</v>
      </c>
      <c r="AA979" s="663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6454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588"/>
      <c r="AN979" s="588"/>
      <c r="AP979" s="432" t="s">
        <v>6450</v>
      </c>
      <c r="AQ979" s="446" t="s">
        <v>161</v>
      </c>
      <c r="AR979" s="432" t="s">
        <v>6451</v>
      </c>
      <c r="AS979" s="432" t="s">
        <v>6452</v>
      </c>
      <c r="AT979" s="432" t="s">
        <v>6455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24" t="str">
        <f>_xlfn.XLOOKUP(PV_DATA[[#This Row],[PORT DESTINATION]],Table12[PORT DESTINATION],Table12[Cosco Line],,0)</f>
        <v>AEU</v>
      </c>
    </row>
    <row r="980" spans="1:62" s="432" customFormat="1" ht="10.5" hidden="1">
      <c r="A980" s="440" t="s">
        <v>6456</v>
      </c>
      <c r="B980" s="440" t="s">
        <v>111</v>
      </c>
      <c r="C980" s="440" t="str">
        <f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6206</v>
      </c>
      <c r="J980" s="440" t="s">
        <v>670</v>
      </c>
      <c r="K980" s="431" t="s">
        <v>5887</v>
      </c>
      <c r="L980" s="431">
        <v>9</v>
      </c>
      <c r="M980" s="431" t="s">
        <v>4962</v>
      </c>
      <c r="N980" s="433"/>
      <c r="O980" s="431" t="s">
        <v>4526</v>
      </c>
      <c r="P980" s="431" t="s">
        <v>6207</v>
      </c>
      <c r="Q980" s="432" t="s">
        <v>330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212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14">
        <f>PV_DATA[[#This Row],[QUANTITY]]/PV_DATA[[#This Row],[Qty/CT]]</f>
        <v>5</v>
      </c>
      <c r="Y980" s="432" t="s">
        <v>6208</v>
      </c>
      <c r="Z980" s="432" t="str">
        <f t="shared" si="15"/>
        <v>IN-TRANSIT</v>
      </c>
      <c r="AA980" s="663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6457</v>
      </c>
      <c r="AF980" s="432" t="s">
        <v>122</v>
      </c>
      <c r="AG980" s="432" t="s">
        <v>122</v>
      </c>
      <c r="AH980" s="432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442"/>
      <c r="AN980" s="588"/>
      <c r="AP980" s="432" t="s">
        <v>6450</v>
      </c>
      <c r="AQ980" s="446" t="s">
        <v>161</v>
      </c>
      <c r="AR980" s="432" t="s">
        <v>6458</v>
      </c>
      <c r="AS980" s="432" t="s">
        <v>6459</v>
      </c>
      <c r="AT980" s="432" t="s">
        <v>6459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 hidden="1">
      <c r="A981" s="729" t="s">
        <v>6460</v>
      </c>
      <c r="B981" s="728" t="s">
        <v>111</v>
      </c>
      <c r="C981" s="440" t="str">
        <f>IFERROR(LEFT(PV_DATA[[#This Row],[TCL REFERENCE]],FIND(".",PV_DATA[[#This Row],[TCL REFERENCE]],1)-1),"Main Line")</f>
        <v>26Aug025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6206</v>
      </c>
      <c r="J981" s="440" t="s">
        <v>670</v>
      </c>
      <c r="K981" s="625" t="s">
        <v>6238</v>
      </c>
      <c r="L981" s="625">
        <v>3</v>
      </c>
      <c r="M981" s="431" t="s">
        <v>4962</v>
      </c>
      <c r="N981" s="1195"/>
      <c r="O981" s="625" t="s">
        <v>4526</v>
      </c>
      <c r="P981" s="625" t="s">
        <v>6444</v>
      </c>
      <c r="Q981" s="621" t="s">
        <v>4593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630</v>
      </c>
      <c r="U981" s="1212">
        <v>720</v>
      </c>
      <c r="V981" s="626">
        <f>PV_DATA[[#This Row],[QUANTITY]]*PV_DATA[[#This Row],[WATT]]/1000000</f>
        <v>0.4536</v>
      </c>
      <c r="W981" s="467">
        <f>PV_DATA[[#This Row],[QUANTITY]]/36</f>
        <v>20</v>
      </c>
      <c r="X981" s="1118">
        <f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1"/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6461</v>
      </c>
      <c r="AE981" s="621"/>
      <c r="AF981" s="621" t="s">
        <v>122</v>
      </c>
      <c r="AG981" s="621" t="s">
        <v>122</v>
      </c>
      <c r="AH981" s="431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628"/>
      <c r="AN981" s="588"/>
      <c r="AO981" s="621"/>
      <c r="AP981" s="432" t="s">
        <v>6450</v>
      </c>
      <c r="AQ981" s="630" t="s">
        <v>161</v>
      </c>
      <c r="AR981" s="432" t="s">
        <v>6462</v>
      </c>
      <c r="AS981" s="432" t="s">
        <v>6463</v>
      </c>
      <c r="AT981" s="432" t="s">
        <v>6464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  <c r="BJ981" s="431"/>
    </row>
    <row r="982" spans="1:62" s="432" customFormat="1" ht="10.5" hidden="1">
      <c r="A982" s="729" t="s">
        <v>6465</v>
      </c>
      <c r="B982" s="728" t="s">
        <v>111</v>
      </c>
      <c r="C982" s="440" t="str">
        <f>IFERROR(LEFT(PV_DATA[[#This Row],[TCL REFERENCE]],FIND(".",PV_DATA[[#This Row],[TCL REFERENCE]],1)-1),"Main Line")</f>
        <v>26Aug009</v>
      </c>
      <c r="D982" s="728" t="s">
        <v>113</v>
      </c>
      <c r="E982" s="440" t="s">
        <v>144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6206</v>
      </c>
      <c r="J982" s="440" t="s">
        <v>670</v>
      </c>
      <c r="K982" s="431" t="s">
        <v>6238</v>
      </c>
      <c r="L982" s="625">
        <v>6</v>
      </c>
      <c r="M982" s="431" t="s">
        <v>4962</v>
      </c>
      <c r="N982" s="1195"/>
      <c r="O982" s="625" t="s">
        <v>4526</v>
      </c>
      <c r="P982" s="625" t="s">
        <v>6466</v>
      </c>
      <c r="Q982" s="621" t="s">
        <v>103</v>
      </c>
      <c r="R982" s="621" t="str">
        <f>_xlfn.XLOOKUP(PV_DATA[[#This Row],[New Ark SKU]],Table9[New Ark SKU],Table9[Connector],,0)</f>
        <v>H4(Com)</v>
      </c>
      <c r="S982" s="622" t="str">
        <f>_xlfn.XLOOKUP(PV_DATA[[#This Row],[New Ark SKU]],Table9[New Ark SKU],Table9[Cable],,0)</f>
        <v>+400mm/-200mm</v>
      </c>
      <c r="T982" s="622">
        <v>620</v>
      </c>
      <c r="U982" s="1156">
        <v>1440</v>
      </c>
      <c r="V982" s="626">
        <f>PV_DATA[[#This Row],[QUANTITY]]*PV_DATA[[#This Row],[WATT]]/1000000</f>
        <v>0.89280000000000004</v>
      </c>
      <c r="W982" s="467">
        <f>PV_DATA[[#This Row],[QUANTITY]]/36</f>
        <v>40</v>
      </c>
      <c r="X982" s="1118">
        <f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6467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6468</v>
      </c>
      <c r="AE982" s="621"/>
      <c r="AF982" s="621" t="s">
        <v>122</v>
      </c>
      <c r="AG982" s="621" t="s">
        <v>122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588"/>
      <c r="AN982" s="588"/>
      <c r="AO982" s="621"/>
      <c r="AP982" s="432" t="s">
        <v>6450</v>
      </c>
      <c r="AQ982" s="630" t="s">
        <v>161</v>
      </c>
      <c r="AR982" s="432" t="s">
        <v>6462</v>
      </c>
      <c r="AS982" s="432" t="s">
        <v>6463</v>
      </c>
      <c r="AT982" s="432" t="s">
        <v>6464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46305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28">
        <f>IFERROR(PV_DATA[[#This Row],[ODP ETA Port]]+PV_DATA[[#This Row],[Customs/Leg3 Assumption]],"n/a")</f>
        <v>46305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41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720</v>
      </c>
      <c r="BG982" s="621" t="str">
        <f>_xlfn.XLOOKUP(PV_DATA[[#This Row],[New Ark SKU]],Table9[New Ark SKU],Table9[Back Glass],,0)</f>
        <v>Redirection Film</v>
      </c>
      <c r="BH982" s="631" t="str">
        <f>_xlfn.XLOOKUP(PV_DATA[[#This Row],[PORT DESTINATION]],Table12[PORT DESTINATION],Table12[Cosco Line],,0)</f>
        <v>AEU</v>
      </c>
    </row>
    <row r="983" spans="1:62" s="432" customFormat="1" ht="10.5" hidden="1">
      <c r="A983" s="729" t="s">
        <v>6469</v>
      </c>
      <c r="B983" s="728" t="s">
        <v>111</v>
      </c>
      <c r="C983" s="440" t="str">
        <f>IFERROR(LEFT(PV_DATA[[#This Row],[TCL REFERENCE]],FIND(".",PV_DATA[[#This Row],[TCL REFERENCE]],1)-1),"Main Line")</f>
        <v>26Jul010</v>
      </c>
      <c r="D983" s="728" t="s">
        <v>63</v>
      </c>
      <c r="E983" s="440" t="s">
        <v>64</v>
      </c>
      <c r="F983" s="728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25"/>
      <c r="M983" s="431" t="s">
        <v>68</v>
      </c>
      <c r="N983" s="1195">
        <v>46251</v>
      </c>
      <c r="O983" s="625" t="s">
        <v>5374</v>
      </c>
      <c r="P983" s="625" t="s">
        <v>5375</v>
      </c>
      <c r="Q983" s="621" t="s">
        <v>5376</v>
      </c>
      <c r="R983" s="621" t="str">
        <f>_xlfn.XLOOKUP(PV_DATA[[#This Row],[New Ark SKU]],Table9[New Ark SKU],Table9[Connector],,0)</f>
        <v>EVO2A</v>
      </c>
      <c r="S983" s="622" t="str">
        <f>_xlfn.XLOOKUP(PV_DATA[[#This Row],[New Ark SKU]],Table9[New Ark SKU],Table9[Cable],,0)</f>
        <v>±1200mm</v>
      </c>
      <c r="T983" s="622">
        <v>470</v>
      </c>
      <c r="U983" s="1156">
        <v>1872</v>
      </c>
      <c r="V983" s="626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18">
        <f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58">
        <v>46260</v>
      </c>
      <c r="AB983" s="628">
        <v>46261</v>
      </c>
      <c r="AC983" s="629">
        <f>IF(PV_DATA[[#This Row],[Pick-Up Date]]&lt;&gt;"",_xlfn.ISOWEEKNUM(PV_DATA[[#This Row],[Pick-Up Date]]),"")</f>
        <v>35</v>
      </c>
      <c r="AD983" s="621" t="s">
        <v>6470</v>
      </c>
      <c r="AE983" s="621"/>
      <c r="AF983" s="621" t="s">
        <v>122</v>
      </c>
      <c r="AG983" s="621" t="s">
        <v>123</v>
      </c>
      <c r="AH983" s="432" t="s">
        <v>105</v>
      </c>
      <c r="AI983" s="721">
        <v>46264</v>
      </c>
      <c r="AJ983" s="442">
        <v>46269</v>
      </c>
      <c r="AK983" s="442">
        <v>46272</v>
      </c>
      <c r="AL983" s="442">
        <v>46305</v>
      </c>
      <c r="AM983" s="1029"/>
      <c r="AN983" s="588"/>
      <c r="AO983" s="621"/>
      <c r="AP983" s="432" t="s">
        <v>6450</v>
      </c>
      <c r="AQ983" s="630" t="s">
        <v>161</v>
      </c>
      <c r="AR983" s="432" t="s">
        <v>6471</v>
      </c>
      <c r="AS983" s="432" t="s">
        <v>6472</v>
      </c>
      <c r="AT983" s="432" t="s">
        <v>6464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1"/>
      <c r="AW983" s="62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28">
        <f>IF(ISERROR(PV_DATA[[#This Row],[New Ark PO status]]),"",_xlfn.XLOOKUP(PV_DATA[[#This Row],[SPTN-PVHK New Ark PO'#]],New_Ark_Data[Purchase order Number],New_Ark_Data[Estimated time of arrival],"",0))</f>
        <v>46312</v>
      </c>
      <c r="AZ9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28">
        <f>IFERROR(PV_DATA[[#This Row],[ODP ETA Port]]+PV_DATA[[#This Row],[Customs/Leg3 Assumption]],"n/a")</f>
        <v>46312</v>
      </c>
      <c r="BB983" s="622">
        <f>YEAR(PV_DATA[[#This Row],[ETA for New Ark update]])</f>
        <v>2026</v>
      </c>
      <c r="BC983" s="621">
        <f>MONTH(PV_DATA[[#This Row],[ETA for New Ark update]])</f>
        <v>10</v>
      </c>
      <c r="BD983" s="621">
        <f>IFERROR(_xlfn.ISOWEEKNUM(PV_DATA[[#This Row],[ETA for New Ark update]]),0)</f>
        <v>42</v>
      </c>
      <c r="BE983" s="621">
        <f>_xlfn.XLOOKUP(PV_DATA[[#This Row],[New Ark SKU]],Table9[New Ark SKU],Table9[Total PCS per Pallet],,0)</f>
        <v>36</v>
      </c>
      <c r="BF983" s="621">
        <f>_xlfn.XLOOKUP(PV_DATA[[#This Row],[New Ark SKU]],Table9[New Ark SKU],Table9[Total PCS per 40HQ Container],,0)</f>
        <v>936</v>
      </c>
      <c r="BG983" s="621" t="str">
        <f>_xlfn.XLOOKUP(PV_DATA[[#This Row],[New Ark SKU]],Table9[New Ark SKU],Table9[Back Glass],,0)</f>
        <v>Black glazing</v>
      </c>
      <c r="BH983" s="631" t="str">
        <f>_xlfn.XLOOKUP(PV_DATA[[#This Row],[PORT DESTINATION]],Table12[PORT DESTINATION],Table12[Cosco Line],,0)</f>
        <v>AEU</v>
      </c>
    </row>
    <row r="984" spans="1:62" s="476" customFormat="1" ht="10.5" hidden="1">
      <c r="A984" s="1265" t="s">
        <v>6473</v>
      </c>
      <c r="B984" s="723" t="s">
        <v>111</v>
      </c>
      <c r="C984" s="723" t="str">
        <f>IFERROR(LEFT(PV_DATA[[#This Row],[TCL REFERENCE]],FIND(".",PV_DATA[[#This Row],[TCL REFERENCE]],1)-1),"Main Line")</f>
        <v>26Aug009</v>
      </c>
      <c r="D984" s="723" t="s">
        <v>113</v>
      </c>
      <c r="E984" s="723" t="s">
        <v>144</v>
      </c>
      <c r="F984" s="723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3" t="s">
        <v>402</v>
      </c>
      <c r="H984" s="723" t="s">
        <v>670</v>
      </c>
      <c r="I984" s="723" t="s">
        <v>6206</v>
      </c>
      <c r="J984" s="723" t="s">
        <v>670</v>
      </c>
      <c r="K984" s="476" t="s">
        <v>6238</v>
      </c>
      <c r="L984" s="476">
        <v>5</v>
      </c>
      <c r="M984" s="476" t="s">
        <v>4962</v>
      </c>
      <c r="N984" s="477"/>
      <c r="O984" s="476" t="s">
        <v>4526</v>
      </c>
      <c r="P984" s="476" t="s">
        <v>6466</v>
      </c>
      <c r="Q984" s="476" t="s">
        <v>103</v>
      </c>
      <c r="R984" s="476" t="str">
        <f>_xlfn.XLOOKUP(PV_DATA[[#This Row],[New Ark SKU]],Table9[New Ark SKU],Table9[Connector],,0)</f>
        <v>H4(Com)</v>
      </c>
      <c r="S984" s="484" t="str">
        <f>_xlfn.XLOOKUP(PV_DATA[[#This Row],[New Ark SKU]],Table9[New Ark SKU],Table9[Cable],,0)</f>
        <v>+400mm/-200mm</v>
      </c>
      <c r="T984" s="484">
        <v>620</v>
      </c>
      <c r="U984" s="1213">
        <v>2160</v>
      </c>
      <c r="V984" s="1058">
        <f>PV_DATA[[#This Row],[QUANTITY]]*PV_DATA[[#This Row],[WATT]]/1000000</f>
        <v>1.3391999999999999</v>
      </c>
      <c r="W984" s="1059">
        <f>PV_DATA[[#This Row],[QUANTITY]]/36</f>
        <v>60</v>
      </c>
      <c r="X984" s="1120">
        <f>PV_DATA[[#This Row],[QUANTITY]]/720</f>
        <v>3</v>
      </c>
      <c r="Y984" s="476" t="s">
        <v>2466</v>
      </c>
      <c r="Z984" s="476" t="str">
        <f t="shared" si="15"/>
        <v>IN-TRANSIT</v>
      </c>
      <c r="AA984" s="1061">
        <v>46261</v>
      </c>
      <c r="AB984" s="1016">
        <v>46267</v>
      </c>
      <c r="AC984" s="1062">
        <f>IF(PV_DATA[[#This Row],[Pick-Up Date]]&lt;&gt;"",_xlfn.ISOWEEKNUM(PV_DATA[[#This Row],[Pick-Up Date]]),"")</f>
        <v>36</v>
      </c>
      <c r="AD984" s="476" t="s">
        <v>6474</v>
      </c>
      <c r="AF984" s="476" t="s">
        <v>122</v>
      </c>
      <c r="AG984" s="476" t="s">
        <v>122</v>
      </c>
      <c r="AH984" s="476" t="s">
        <v>105</v>
      </c>
      <c r="AI984" s="1016">
        <v>46270</v>
      </c>
      <c r="AJ984" s="1016">
        <v>46275</v>
      </c>
      <c r="AK984" s="1016">
        <v>46274</v>
      </c>
      <c r="AL984" s="1016">
        <v>46302</v>
      </c>
      <c r="AM984" s="1016"/>
      <c r="AN984" s="1063"/>
      <c r="AP984" s="476" t="s">
        <v>6432</v>
      </c>
      <c r="AQ984" s="1064" t="s">
        <v>161</v>
      </c>
      <c r="AR984" s="476" t="s">
        <v>6475</v>
      </c>
      <c r="AT984" s="476" t="s">
        <v>6476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4" s="101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16" t="str">
        <f>IF(ISERROR(PV_DATA[[#This Row],[New Ark PO status]]),"",_xlfn.XLOOKUP(PV_DATA[[#This Row],[SPTN-PVHK New Ark PO'#]],New_Ark_Data[Purchase order Number],New_Ark_Data[Estimated time of arrival],"",0))</f>
        <v/>
      </c>
      <c r="AZ98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16">
        <f>IFERROR(PV_DATA[[#This Row],[ODP ETA Port]]+PV_DATA[[#This Row],[Customs/Leg3 Assumption]],"n/a")</f>
        <v>46302</v>
      </c>
      <c r="BB984" s="484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65" t="str">
        <f>_xlfn.XLOOKUP(PV_DATA[[#This Row],[PORT DESTINATION]],Table12[PORT DESTINATION],Table12[Cosco Line],,0)</f>
        <v>AEU</v>
      </c>
    </row>
    <row r="985" spans="1:62" s="476" customFormat="1" ht="10.5" hidden="1">
      <c r="A985" s="1267" t="s">
        <v>6477</v>
      </c>
      <c r="B985" s="1066" t="s">
        <v>111</v>
      </c>
      <c r="C985" s="723" t="str">
        <f>IFERROR(LEFT(PV_DATA[[#This Row],[TCL REFERENCE]],FIND(".",PV_DATA[[#This Row],[TCL REFERENCE]],1)-1),"Main Line")</f>
        <v>26Aug025</v>
      </c>
      <c r="D985" s="1066" t="s">
        <v>113</v>
      </c>
      <c r="E985" s="723" t="s">
        <v>144</v>
      </c>
      <c r="F985" s="106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3" t="s">
        <v>402</v>
      </c>
      <c r="H985" s="723" t="s">
        <v>670</v>
      </c>
      <c r="I985" s="723" t="s">
        <v>6206</v>
      </c>
      <c r="J985" s="723" t="s">
        <v>670</v>
      </c>
      <c r="K985" s="1067" t="s">
        <v>6238</v>
      </c>
      <c r="L985" s="1067">
        <v>23</v>
      </c>
      <c r="M985" s="476" t="s">
        <v>4962</v>
      </c>
      <c r="N985" s="1068"/>
      <c r="O985" s="1067" t="s">
        <v>4526</v>
      </c>
      <c r="P985" s="1067" t="s">
        <v>6444</v>
      </c>
      <c r="Q985" s="1067" t="s">
        <v>4593</v>
      </c>
      <c r="R985" s="1067" t="str">
        <f>_xlfn.XLOOKUP(PV_DATA[[#This Row],[New Ark SKU]],Table9[New Ark SKU],Table9[Connector],,0)</f>
        <v>H4(Com)</v>
      </c>
      <c r="S985" s="1069" t="str">
        <f>_xlfn.XLOOKUP(PV_DATA[[#This Row],[New Ark SKU]],Table9[New Ark SKU],Table9[Cable],,0)</f>
        <v>+400mm/-200mm</v>
      </c>
      <c r="T985" s="1069">
        <v>630</v>
      </c>
      <c r="U985" s="1213">
        <v>720</v>
      </c>
      <c r="V985" s="1070">
        <f>PV_DATA[[#This Row],[QUANTITY]]*PV_DATA[[#This Row],[WATT]]/1000000</f>
        <v>0.4536</v>
      </c>
      <c r="W985" s="1071">
        <f>PV_DATA[[#This Row],[QUANTITY]]/36</f>
        <v>20</v>
      </c>
      <c r="X985" s="1203">
        <f>PV_DATA[[#This Row],[QUANTITY]]/PV_DATA[[#This Row],[Qty/CT]]</f>
        <v>1</v>
      </c>
      <c r="Y985" s="476" t="s">
        <v>2466</v>
      </c>
      <c r="Z985" s="476" t="str">
        <f t="shared" si="15"/>
        <v>IN-TRANSIT</v>
      </c>
      <c r="AA985" s="1067"/>
      <c r="AB985" s="1072">
        <v>46267</v>
      </c>
      <c r="AC985" s="1073">
        <f>IF(PV_DATA[[#This Row],[Pick-Up Date]]&lt;&gt;"",_xlfn.ISOWEEKNUM(PV_DATA[[#This Row],[Pick-Up Date]]),"")</f>
        <v>36</v>
      </c>
      <c r="AD985" s="1067" t="s">
        <v>6478</v>
      </c>
      <c r="AE985" s="1067"/>
      <c r="AF985" s="1067" t="s">
        <v>122</v>
      </c>
      <c r="AG985" s="1067" t="s">
        <v>122</v>
      </c>
      <c r="AH985" s="476" t="s">
        <v>105</v>
      </c>
      <c r="AI985" s="1072">
        <v>46270</v>
      </c>
      <c r="AJ985" s="1016">
        <v>46275</v>
      </c>
      <c r="AK985" s="1016">
        <v>46274</v>
      </c>
      <c r="AL985" s="1072">
        <v>46302</v>
      </c>
      <c r="AM985" s="1072"/>
      <c r="AN985" s="1063"/>
      <c r="AO985" s="1067"/>
      <c r="AP985" s="476" t="s">
        <v>6432</v>
      </c>
      <c r="AQ985" s="1064" t="s">
        <v>161</v>
      </c>
      <c r="AR985" s="476" t="s">
        <v>6475</v>
      </c>
      <c r="AT985" s="476" t="s">
        <v>6476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1067"/>
      <c r="AW985" s="1072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72" t="str">
        <f>IF(ISERROR(PV_DATA[[#This Row],[New Ark PO status]]),"",_xlfn.XLOOKUP(PV_DATA[[#This Row],[SPTN-PVHK New Ark PO'#]],New_Ark_Data[Purchase order Number],New_Ark_Data[Estimated time of arrival],"",0))</f>
        <v/>
      </c>
      <c r="AZ985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72">
        <f>IFERROR(PV_DATA[[#This Row],[ODP ETA Port]]+PV_DATA[[#This Row],[Customs/Leg3 Assumption]],"n/a")</f>
        <v>46302</v>
      </c>
      <c r="BB985" s="484">
        <f>YEAR(PV_DATA[[#This Row],[ETA for New Ark update]])</f>
        <v>2026</v>
      </c>
      <c r="BC985" s="476">
        <f>MONTH(PV_DATA[[#This Row],[ETA for New Ark update]])</f>
        <v>10</v>
      </c>
      <c r="BD985" s="1067">
        <f>IFERROR(_xlfn.ISOWEEKNUM(PV_DATA[[#This Row],[ETA for New Ark update]]),0)</f>
        <v>41</v>
      </c>
      <c r="BE985" s="1067">
        <f>_xlfn.XLOOKUP(PV_DATA[[#This Row],[New Ark SKU]],Table9[New Ark SKU],Table9[Total PCS per Pallet],,0)</f>
        <v>36</v>
      </c>
      <c r="BF985" s="1067">
        <f>_xlfn.XLOOKUP(PV_DATA[[#This Row],[New Ark SKU]],Table9[New Ark SKU],Table9[Total PCS per 40HQ Container],,0)</f>
        <v>720</v>
      </c>
      <c r="BG985" s="1067" t="str">
        <f>_xlfn.XLOOKUP(PV_DATA[[#This Row],[New Ark SKU]],Table9[New Ark SKU],Table9[Back Glass],,0)</f>
        <v>Redirection Film</v>
      </c>
      <c r="BH985" s="1074" t="str">
        <f>_xlfn.XLOOKUP(PV_DATA[[#This Row],[PORT DESTINATION]],Table12[PORT DESTINATION],Table12[Cosco Line],,0)</f>
        <v>AEU</v>
      </c>
    </row>
    <row r="986" spans="1:62" s="476" customFormat="1" ht="10.5" hidden="1">
      <c r="A986" s="1267" t="s">
        <v>6479</v>
      </c>
      <c r="B986" s="1066" t="s">
        <v>111</v>
      </c>
      <c r="C986" s="723" t="str">
        <f>IFERROR(LEFT(PV_DATA[[#This Row],[TCL REFERENCE]],FIND(".",PV_DATA[[#This Row],[TCL REFERENCE]],1)-1),"Main Line")</f>
        <v>26Jul010</v>
      </c>
      <c r="D986" s="1066" t="s">
        <v>63</v>
      </c>
      <c r="E986" s="723" t="s">
        <v>64</v>
      </c>
      <c r="F986" s="106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3" t="s">
        <v>402</v>
      </c>
      <c r="H986" s="723" t="s">
        <v>67</v>
      </c>
      <c r="I986" s="723" t="s">
        <v>1395</v>
      </c>
      <c r="J986" s="476" t="s">
        <v>96</v>
      </c>
      <c r="L986" s="1067"/>
      <c r="M986" s="476" t="s">
        <v>68</v>
      </c>
      <c r="N986" s="1068">
        <v>46251</v>
      </c>
      <c r="O986" s="1067" t="s">
        <v>5374</v>
      </c>
      <c r="P986" s="1067" t="s">
        <v>5375</v>
      </c>
      <c r="Q986" s="1067" t="s">
        <v>5376</v>
      </c>
      <c r="R986" s="1067" t="str">
        <f>_xlfn.XLOOKUP(PV_DATA[[#This Row],[New Ark SKU]],Table9[New Ark SKU],Table9[Connector],,0)</f>
        <v>EVO2A</v>
      </c>
      <c r="S986" s="1069" t="str">
        <f>_xlfn.XLOOKUP(PV_DATA[[#This Row],[New Ark SKU]],Table9[New Ark SKU],Table9[Cable],,0)</f>
        <v>±1200mm</v>
      </c>
      <c r="T986" s="1069">
        <v>470</v>
      </c>
      <c r="U986" s="1220">
        <v>1872</v>
      </c>
      <c r="V986" s="1070">
        <f>PV_DATA[[#This Row],[QUANTITY]]*PV_DATA[[#This Row],[WATT]]/1000000</f>
        <v>0.87983999999999996</v>
      </c>
      <c r="W986" s="1071">
        <f>PV_DATA[[#This Row],[QUANTITY]]/PV_DATA[[#This Row],[Qty/Pallet]]</f>
        <v>52</v>
      </c>
      <c r="X986" s="1203">
        <f>PV_DATA[[#This Row],[QUANTITY]]/PV_DATA[[#This Row],[Qty/CT]]</f>
        <v>2</v>
      </c>
      <c r="Y986" s="476" t="s">
        <v>2466</v>
      </c>
      <c r="Z986" s="476" t="str">
        <f t="shared" si="15"/>
        <v>IN-TRANSIT</v>
      </c>
      <c r="AA986" s="1075">
        <v>46260</v>
      </c>
      <c r="AB986" s="1072">
        <v>46267</v>
      </c>
      <c r="AC986" s="1073">
        <f>IF(PV_DATA[[#This Row],[Pick-Up Date]]&lt;&gt;"",_xlfn.ISOWEEKNUM(PV_DATA[[#This Row],[Pick-Up Date]]),"")</f>
        <v>36</v>
      </c>
      <c r="AD986" s="1067" t="s">
        <v>6480</v>
      </c>
      <c r="AE986" s="1067"/>
      <c r="AF986" s="1067" t="s">
        <v>122</v>
      </c>
      <c r="AG986" s="1067" t="s">
        <v>123</v>
      </c>
      <c r="AH986" s="476" t="s">
        <v>105</v>
      </c>
      <c r="AI986" s="1072">
        <v>46270</v>
      </c>
      <c r="AJ986" s="1016">
        <v>46275</v>
      </c>
      <c r="AK986" s="1016">
        <v>46274</v>
      </c>
      <c r="AL986" s="1072">
        <v>46302</v>
      </c>
      <c r="AM986" s="1076"/>
      <c r="AN986" s="1063"/>
      <c r="AO986" s="1067"/>
      <c r="AP986" s="1067" t="s">
        <v>6432</v>
      </c>
      <c r="AQ986" s="1064" t="s">
        <v>161</v>
      </c>
      <c r="AR986" s="1067" t="s">
        <v>6481</v>
      </c>
      <c r="AS986" s="1067"/>
      <c r="AT986" s="476" t="s">
        <v>6476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6" s="1067"/>
      <c r="AW986" s="1072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2" t="str">
        <f>IF(ISERROR(PV_DATA[[#This Row],[New Ark PO status]]),"",_xlfn.XLOOKUP(PV_DATA[[#This Row],[SPTN-PVHK New Ark PO'#]],New_Ark_Data[Purchase order Number],New_Ark_Data[Estimated time of arrival],"",0))</f>
        <v/>
      </c>
      <c r="AZ986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72">
        <f>IFERROR(PV_DATA[[#This Row],[ODP ETA Port]]+PV_DATA[[#This Row],[Customs/Leg3 Assumption]],"n/a")</f>
        <v>46309</v>
      </c>
      <c r="BB986" s="1069">
        <f>YEAR(PV_DATA[[#This Row],[ETA for New Ark update]])</f>
        <v>2026</v>
      </c>
      <c r="BC986" s="1067">
        <f>MONTH(PV_DATA[[#This Row],[ETA for New Ark update]])</f>
        <v>10</v>
      </c>
      <c r="BD986" s="1067">
        <f>IFERROR(_xlfn.ISOWEEKNUM(PV_DATA[[#This Row],[ETA for New Ark update]]),0)</f>
        <v>42</v>
      </c>
      <c r="BE986" s="1067">
        <f>_xlfn.XLOOKUP(PV_DATA[[#This Row],[New Ark SKU]],Table9[New Ark SKU],Table9[Total PCS per Pallet],,0)</f>
        <v>36</v>
      </c>
      <c r="BF986" s="1067">
        <f>_xlfn.XLOOKUP(PV_DATA[[#This Row],[New Ark SKU]],Table9[New Ark SKU],Table9[Total PCS per 40HQ Container],,0)</f>
        <v>936</v>
      </c>
      <c r="BG986" s="1067" t="str">
        <f>_xlfn.XLOOKUP(PV_DATA[[#This Row],[New Ark SKU]],Table9[New Ark SKU],Table9[Back Glass],,0)</f>
        <v>Black glazing</v>
      </c>
      <c r="BH986" s="1074" t="str">
        <f>_xlfn.XLOOKUP(PV_DATA[[#This Row],[PORT DESTINATION]],Table12[PORT DESTINATION],Table12[Cosco Line],,0)</f>
        <v>AEU</v>
      </c>
    </row>
    <row r="987" spans="1:62" s="476" customFormat="1" ht="10.5" hidden="1">
      <c r="A987" s="1077" t="s">
        <v>6482</v>
      </c>
      <c r="B987" s="723" t="s">
        <v>111</v>
      </c>
      <c r="C987" s="723" t="str">
        <f>IFERROR(LEFT(PV_DATA[[#This Row],[TCL REFERENCE]],FIND(".",PV_DATA[[#This Row],[TCL REFERENCE]],1)-1),"Main Line")</f>
        <v>26Jun015</v>
      </c>
      <c r="D987" s="723" t="s">
        <v>63</v>
      </c>
      <c r="E987" s="723" t="s">
        <v>144</v>
      </c>
      <c r="F987" s="72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3" t="s">
        <v>402</v>
      </c>
      <c r="H987" s="723" t="s">
        <v>1080</v>
      </c>
      <c r="I987" s="723" t="s">
        <v>689</v>
      </c>
      <c r="J987" s="476" t="s">
        <v>1080</v>
      </c>
      <c r="K987" s="476" t="s">
        <v>5394</v>
      </c>
      <c r="L987" s="476">
        <v>4</v>
      </c>
      <c r="M987" s="476" t="s">
        <v>4962</v>
      </c>
      <c r="N987" s="477">
        <v>46202</v>
      </c>
      <c r="O987" s="476" t="s">
        <v>5374</v>
      </c>
      <c r="P987" s="476" t="s">
        <v>5395</v>
      </c>
      <c r="Q987" s="476" t="s">
        <v>5396</v>
      </c>
      <c r="R987" s="476" t="str">
        <f>_xlfn.XLOOKUP(PV_DATA[[#This Row],[New Ark SKU]],Table9[New Ark SKU],Table9[Connector],,0)</f>
        <v>EVO2A</v>
      </c>
      <c r="S987" s="484" t="str">
        <f>_xlfn.XLOOKUP(PV_DATA[[#This Row],[New Ark SKU]],Table9[New Ark SKU],Table9[Cable],,0)</f>
        <v>±1200mm</v>
      </c>
      <c r="T987" s="484">
        <v>465</v>
      </c>
      <c r="U987" s="1213">
        <v>936</v>
      </c>
      <c r="V987" s="1058">
        <f>PV_DATA[[#This Row],[QUANTITY]]*PV_DATA[[#This Row],[WATT]]/1000000</f>
        <v>0.43524000000000002</v>
      </c>
      <c r="W987" s="1071">
        <f>PV_DATA[[#This Row],[QUANTITY]]/PV_DATA[[#This Row],[Qty/Pallet]]</f>
        <v>26</v>
      </c>
      <c r="X987" s="1120">
        <f>PV_DATA[[#This Row],[QUANTITY]]/PV_DATA[[#This Row],[Qty/CT]]</f>
        <v>1</v>
      </c>
      <c r="Y987" s="476" t="s">
        <v>6483</v>
      </c>
      <c r="Z987" s="476" t="str">
        <f t="shared" si="15"/>
        <v>IN-TRANSIT</v>
      </c>
      <c r="AA987" s="476" t="s">
        <v>6484</v>
      </c>
      <c r="AB987" s="1016">
        <v>46267</v>
      </c>
      <c r="AC987" s="1062"/>
      <c r="AD987" s="476" t="s">
        <v>6485</v>
      </c>
      <c r="AF987" s="476" t="s">
        <v>122</v>
      </c>
      <c r="AG987" s="476" t="s">
        <v>123</v>
      </c>
      <c r="AH987" s="476" t="s">
        <v>105</v>
      </c>
      <c r="AI987" s="1016">
        <v>46270</v>
      </c>
      <c r="AJ987" s="1016">
        <v>46275</v>
      </c>
      <c r="AK987" s="1016">
        <v>46274</v>
      </c>
      <c r="AL987" s="1016">
        <v>46302</v>
      </c>
      <c r="AM987" s="1063"/>
      <c r="AN987" s="1063"/>
      <c r="AP987" s="476" t="s">
        <v>6432</v>
      </c>
      <c r="AQ987" s="476" t="s">
        <v>161</v>
      </c>
      <c r="AR987" s="476" t="s">
        <v>6486</v>
      </c>
      <c r="AS987" s="476" t="s">
        <v>6487</v>
      </c>
      <c r="AT987" s="476" t="s">
        <v>6476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7" s="101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16" t="str">
        <f>IF(ISERROR(PV_DATA[[#This Row],[New Ark PO status]]),"",_xlfn.XLOOKUP(PV_DATA[[#This Row],[SPTN-PVHK New Ark PO'#]],New_Ark_Data[Purchase order Number],New_Ark_Data[Estimated time of arrival],"",0))</f>
        <v/>
      </c>
      <c r="AZ98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16">
        <f>IFERROR(PV_DATA[[#This Row],[ODP ETA Port]]+PV_DATA[[#This Row],[Customs/Leg3 Assumption]],"n/a")</f>
        <v>46302</v>
      </c>
      <c r="BB987" s="484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hidden="1" customHeight="1">
      <c r="A988" s="723" t="s">
        <v>6488</v>
      </c>
      <c r="B988" s="723" t="s">
        <v>111</v>
      </c>
      <c r="C988" s="723" t="str">
        <f>IFERROR(LEFT(PV_DATA[[#This Row],[TCL REFERENCE]],FIND(".",PV_DATA[[#This Row],[TCL REFERENCE]],1)-1),"Main Line")</f>
        <v>26Aug010</v>
      </c>
      <c r="D988" s="723" t="s">
        <v>113</v>
      </c>
      <c r="E988" s="723" t="s">
        <v>144</v>
      </c>
      <c r="F988" s="1066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66" t="s">
        <v>402</v>
      </c>
      <c r="H988" s="723" t="s">
        <v>6489</v>
      </c>
      <c r="I988" s="723" t="s">
        <v>1395</v>
      </c>
      <c r="J988" s="723" t="s">
        <v>6489</v>
      </c>
      <c r="K988" s="476" t="s">
        <v>6490</v>
      </c>
      <c r="L988" s="476">
        <v>1</v>
      </c>
      <c r="M988" s="476" t="s">
        <v>840</v>
      </c>
      <c r="N988" s="477"/>
      <c r="O988" s="476" t="s">
        <v>4526</v>
      </c>
      <c r="P988" s="476" t="s">
        <v>6207</v>
      </c>
      <c r="Q988" s="476" t="s">
        <v>330</v>
      </c>
      <c r="R988" s="476" t="str">
        <f>_xlfn.XLOOKUP(PV_DATA[[#This Row],[New Ark SKU]],Table9[New Ark SKU],Table9[Connector],,0)</f>
        <v>H4(Com)</v>
      </c>
      <c r="S988" s="484" t="str">
        <f>_xlfn.XLOOKUP(PV_DATA[[#This Row],[New Ark SKU]],Table9[New Ark SKU],Table9[Cable],,0)</f>
        <v>+400mm/-200mm</v>
      </c>
      <c r="T988" s="484">
        <v>625</v>
      </c>
      <c r="U988" s="1213">
        <f>720*11</f>
        <v>7920</v>
      </c>
      <c r="V988" s="1058">
        <f>PV_DATA[[#This Row],[QUANTITY]]*PV_DATA[[#This Row],[WATT]]/1000000</f>
        <v>4.95</v>
      </c>
      <c r="W988" s="1059">
        <f>PV_DATA[[#This Row],[QUANTITY]]/36</f>
        <v>220</v>
      </c>
      <c r="X988" s="1120">
        <f>PV_DATA[[#This Row],[QUANTITY]]/PV_DATA[[#This Row],[Qty/CT]]</f>
        <v>11</v>
      </c>
      <c r="Y988" s="476" t="s">
        <v>6483</v>
      </c>
      <c r="Z988" s="476" t="str">
        <f t="shared" si="15"/>
        <v>IN-TRANSIT</v>
      </c>
      <c r="AA988" s="1061">
        <v>46263</v>
      </c>
      <c r="AB988" s="1016">
        <v>46264</v>
      </c>
      <c r="AC988" s="1062">
        <f>IF(PV_DATA[[#This Row],[Pick-Up Date]]&lt;&gt;"",_xlfn.ISOWEEKNUM(PV_DATA[[#This Row],[Pick-Up Date]]),"")</f>
        <v>35</v>
      </c>
      <c r="AD988" s="476" t="s">
        <v>6491</v>
      </c>
      <c r="AF988" s="476" t="s">
        <v>122</v>
      </c>
      <c r="AG988" s="476" t="s">
        <v>122</v>
      </c>
      <c r="AH988" s="476" t="s">
        <v>6492</v>
      </c>
      <c r="AI988" s="1016">
        <v>46276</v>
      </c>
      <c r="AJ988" s="1016"/>
      <c r="AK988" s="1016">
        <v>46273</v>
      </c>
      <c r="AL988" s="1016">
        <v>46314</v>
      </c>
      <c r="AM988" s="1016"/>
      <c r="AN988" s="1063"/>
      <c r="AP988" s="476" t="s">
        <v>6493</v>
      </c>
      <c r="AQ988" s="1064" t="s">
        <v>161</v>
      </c>
      <c r="AR988" s="476" t="s">
        <v>6494</v>
      </c>
      <c r="AS988" s="476" t="s">
        <v>6495</v>
      </c>
      <c r="AT988" s="476" t="s">
        <v>6495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16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16">
        <f>IF(ISERROR(PV_DATA[[#This Row],[New Ark PO status]]),"",_xlfn.XLOOKUP(PV_DATA[[#This Row],[SPTN-PVHK New Ark PO'#]],New_Ark_Data[Purchase order Number],New_Ark_Data[Estimated time of arrival],"",0))</f>
        <v>46314</v>
      </c>
      <c r="AZ988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16">
        <f>IFERROR(PV_DATA[[#This Row],[ODP ETA Port]]+PV_DATA[[#This Row],[Customs/Leg3 Assumption]],"n/a")</f>
        <v>46314</v>
      </c>
      <c r="BB988" s="484" t="s">
        <v>6273</v>
      </c>
      <c r="BC988" s="484" t="s">
        <v>6273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65" t="str">
        <f>_xlfn.XLOOKUP(PV_DATA[[#This Row],[PORT DESTINATION]],Table12[PORT DESTINATION],Table12[Cosco Line],,0)</f>
        <v>n/a</v>
      </c>
    </row>
    <row r="989" spans="1:62" s="476" customFormat="1" ht="10.5" hidden="1">
      <c r="A989" s="723" t="s">
        <v>6496</v>
      </c>
      <c r="B989" s="723" t="s">
        <v>111</v>
      </c>
      <c r="C989" s="723" t="str">
        <f>IFERROR(LEFT(PV_DATA[[#This Row],[TCL REFERENCE]],FIND(".",PV_DATA[[#This Row],[TCL REFERENCE]],1)-1),"Main Line")</f>
        <v>26Aug002</v>
      </c>
      <c r="D989" s="723" t="s">
        <v>63</v>
      </c>
      <c r="E989" s="723" t="s">
        <v>64</v>
      </c>
      <c r="F989" s="72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3" t="s">
        <v>402</v>
      </c>
      <c r="H989" s="723" t="s">
        <v>311</v>
      </c>
      <c r="I989" s="723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>_xlfn.XLOOKUP(PV_DATA[[#This Row],[New Ark SKU]],Table9[New Ark SKU],Table9[Connector],,0)</f>
        <v>EVO2A</v>
      </c>
      <c r="S989" s="484" t="str">
        <f>_xlfn.XLOOKUP(PV_DATA[[#This Row],[New Ark SKU]],Table9[New Ark SKU],Table9[Cable],,0)</f>
        <v>±1350mm</v>
      </c>
      <c r="T989" s="484">
        <v>515</v>
      </c>
      <c r="U989" s="1213">
        <f>792*6</f>
        <v>4752</v>
      </c>
      <c r="V989" s="1058">
        <f>PV_DATA[[#This Row],[QUANTITY]]*PV_DATA[[#This Row],[WATT]]/1000000</f>
        <v>2.4472800000000001</v>
      </c>
      <c r="W989" s="1071">
        <f>PV_DATA[[#This Row],[QUANTITY]]/PV_DATA[[#This Row],[Qty/Pallet]]</f>
        <v>132</v>
      </c>
      <c r="X989" s="1120">
        <f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5848</v>
      </c>
      <c r="AB989" s="1016">
        <v>46265</v>
      </c>
      <c r="AC989" s="1062">
        <f>IF(PV_DATA[[#This Row],[Pick-Up Date]]&lt;&gt;"",_xlfn.ISOWEEKNUM(PV_DATA[[#This Row],[Pick-Up Date]]),"")</f>
        <v>36</v>
      </c>
      <c r="AD989" s="476" t="s">
        <v>6497</v>
      </c>
      <c r="AF989" s="476" t="s">
        <v>122</v>
      </c>
      <c r="AG989" s="476" t="s">
        <v>123</v>
      </c>
      <c r="AH989" s="1077" t="s">
        <v>314</v>
      </c>
      <c r="AI989" s="1016">
        <v>46274</v>
      </c>
      <c r="AJ989" s="1016">
        <f>IFERROR(VLOOKUP(AT989, Vessel!A:D, 4, FALSE), "")</f>
        <v>46273.041666666664</v>
      </c>
      <c r="AK989" s="1016">
        <v>46273</v>
      </c>
      <c r="AL989" s="1016">
        <v>46316</v>
      </c>
      <c r="AM989" s="1385">
        <f>IFERROR(VLOOKUP(AT989, Vessel!A:H, 8, FALSE), "")</f>
        <v>46323.5625</v>
      </c>
      <c r="AN989" s="1063" t="str">
        <f>IFERROR(IF(VLOOKUP(AT989,Vessel!A:I,9,FALSE)=0,"",VLOOKUP(AT989,Vessel!A:I,9,FALSE)),"")</f>
        <v/>
      </c>
      <c r="AP989" s="476" t="s">
        <v>6493</v>
      </c>
      <c r="AQ989" s="1064" t="s">
        <v>80</v>
      </c>
      <c r="AR989" s="476" t="s">
        <v>6498</v>
      </c>
      <c r="AS989" s="476" t="s">
        <v>6499</v>
      </c>
      <c r="AT989" s="476" t="s">
        <v>6499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50.5625</v>
      </c>
      <c r="AW989" s="101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46323.5625</v>
      </c>
      <c r="AX9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16">
        <f>IF(ISERROR(PV_DATA[[#This Row],[New Ark PO status]]),"",_xlfn.XLOOKUP(PV_DATA[[#This Row],[SPTN-PVHK New Ark PO'#]],New_Ark_Data[Purchase order Number],New_Ark_Data[Estimated time of arrival],"",0))</f>
        <v>46329</v>
      </c>
      <c r="AZ989" s="48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16">
        <f>IFERROR(PV_DATA[[#This Row],[ODP ETA Port]]+PV_DATA[[#This Row],[Customs/Leg3 Assumption]],"n/a")</f>
        <v>46333.5625</v>
      </c>
      <c r="BB989" s="484">
        <f>YEAR(PV_DATA[[#This Row],[ETA for New Ark update]])</f>
        <v>2026</v>
      </c>
      <c r="BC989" s="476">
        <f>MONTH(PV_DATA[[#This Row],[ETA for New Ark update]])</f>
        <v>11</v>
      </c>
      <c r="BD989" s="476">
        <f>IFERROR(_xlfn.ISOWEEKNUM(PV_DATA[[#This Row],[ETA for New Ark update]]),0)</f>
        <v>45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 hidden="1">
      <c r="A990" s="723" t="s">
        <v>6500</v>
      </c>
      <c r="B990" s="723" t="s">
        <v>111</v>
      </c>
      <c r="C990" s="723" t="str">
        <f>IFERROR(LEFT(PV_DATA[[#This Row],[TCL REFERENCE]],FIND(".",PV_DATA[[#This Row],[TCL REFERENCE]],1)-1),"Main Line")</f>
        <v>26Jul016</v>
      </c>
      <c r="D990" s="723" t="s">
        <v>63</v>
      </c>
      <c r="E990" s="723" t="s">
        <v>64</v>
      </c>
      <c r="F990" s="72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3" t="s">
        <v>402</v>
      </c>
      <c r="H990" s="723" t="s">
        <v>67</v>
      </c>
      <c r="I990" s="723" t="s">
        <v>689</v>
      </c>
      <c r="J990" s="476" t="s">
        <v>96</v>
      </c>
      <c r="M990" s="476" t="s">
        <v>68</v>
      </c>
      <c r="N990" s="477">
        <v>46237</v>
      </c>
      <c r="O990" s="476" t="s">
        <v>5374</v>
      </c>
      <c r="P990" s="476" t="s">
        <v>5730</v>
      </c>
      <c r="Q990" s="476" t="s">
        <v>5731</v>
      </c>
      <c r="R990" s="476" t="str">
        <f>_xlfn.XLOOKUP(PV_DATA[[#This Row],[New Ark SKU]],Table9[New Ark SKU],Table9[Connector],,0)</f>
        <v>EVO2A</v>
      </c>
      <c r="S990" s="484" t="str">
        <f>_xlfn.XLOOKUP(PV_DATA[[#This Row],[New Ark SKU]],Table9[New Ark SKU],Table9[Cable],,0)</f>
        <v>±1200mm</v>
      </c>
      <c r="T990" s="484">
        <v>475</v>
      </c>
      <c r="U990" s="1213">
        <v>2808</v>
      </c>
      <c r="V990" s="1058">
        <f>PV_DATA[[#This Row],[QUANTITY]]*PV_DATA[[#This Row],[WATT]]/1000000</f>
        <v>1.3338000000000001</v>
      </c>
      <c r="W990" s="1071">
        <f>PV_DATA[[#This Row],[QUANTITY]]/PV_DATA[[#This Row],[Qty/Pallet]]</f>
        <v>78</v>
      </c>
      <c r="X990" s="1120">
        <f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5848</v>
      </c>
      <c r="AB990" s="1016">
        <v>46260</v>
      </c>
      <c r="AC990" s="1062">
        <f>IF(PV_DATA[[#This Row],[Pick-Up Date]]&lt;&gt;"",_xlfn.ISOWEEKNUM(PV_DATA[[#This Row],[Pick-Up Date]]),"")</f>
        <v>35</v>
      </c>
      <c r="AD990" s="476" t="s">
        <v>6501</v>
      </c>
      <c r="AF990" s="476" t="s">
        <v>122</v>
      </c>
      <c r="AG990" s="476" t="s">
        <v>123</v>
      </c>
      <c r="AH990" s="476" t="s">
        <v>78</v>
      </c>
      <c r="AI990" s="1031">
        <v>46268</v>
      </c>
      <c r="AJ990" s="1016">
        <v>46271</v>
      </c>
      <c r="AK990" s="1016">
        <f>IFERROR(IF(VLOOKUP(AT990,Vessel!A:F,5,FALSE)=0,"",VLOOKUP(AT990,Vessel!A:F,5,FALSE)),"")</f>
        <v>46270.941423611112</v>
      </c>
      <c r="AL990" s="1016">
        <v>46309</v>
      </c>
      <c r="AM990" s="1016"/>
      <c r="AN990" s="1063" t="str">
        <f>IFERROR(IF(VLOOKUP(AT990,Vessel!A:I,9,FALSE)=0,"",VLOOKUP(AT990,Vessel!A:I,9,FALSE)),"")</f>
        <v/>
      </c>
      <c r="AP990" s="476" t="s">
        <v>6502</v>
      </c>
      <c r="AQ990" s="1064" t="s">
        <v>80</v>
      </c>
      <c r="AR990" s="476" t="s">
        <v>6503</v>
      </c>
      <c r="AS990" s="476" t="s">
        <v>6504</v>
      </c>
      <c r="AT990" s="1067" t="s">
        <v>6504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1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16">
        <f>IF(ISERROR(PV_DATA[[#This Row],[New Ark PO status]]),"",_xlfn.XLOOKUP(PV_DATA[[#This Row],[SPTN-PVHK New Ark PO'#]],New_Ark_Data[Purchase order Number],New_Ark_Data[Estimated time of arrival],"",0))</f>
        <v>46317</v>
      </c>
      <c r="AZ99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16">
        <f>IFERROR(PV_DATA[[#This Row],[ODP ETA Port]]+PV_DATA[[#This Row],[Customs/Leg3 Assumption]],"n/a")</f>
        <v>46317</v>
      </c>
      <c r="BB990" s="484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65" t="str">
        <f>_xlfn.XLOOKUP(PV_DATA[[#This Row],[PORT DESTINATION]],Table12[PORT DESTINATION],Table12[Cosco Line],,0)</f>
        <v>AEM</v>
      </c>
    </row>
    <row r="991" spans="1:62" s="476" customFormat="1" ht="10.5" hidden="1">
      <c r="A991" s="1077" t="s">
        <v>6505</v>
      </c>
      <c r="B991" s="723" t="s">
        <v>111</v>
      </c>
      <c r="C991" s="723" t="str">
        <f>IFERROR(LEFT(PV_DATA[[#This Row],[TCL REFERENCE]],FIND(".",PV_DATA[[#This Row],[TCL REFERENCE]],1)-1),"Main Line")</f>
        <v>26Aug001</v>
      </c>
      <c r="D991" s="723" t="s">
        <v>63</v>
      </c>
      <c r="E991" s="723" t="s">
        <v>64</v>
      </c>
      <c r="F991" s="72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3" t="s">
        <v>402</v>
      </c>
      <c r="H991" s="723" t="s">
        <v>67</v>
      </c>
      <c r="I991" s="723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>_xlfn.XLOOKUP(PV_DATA[[#This Row],[New Ark SKU]],Table9[New Ark SKU],Table9[Connector],,0)</f>
        <v>EVO2A</v>
      </c>
      <c r="S991" s="484" t="str">
        <f>_xlfn.XLOOKUP(PV_DATA[[#This Row],[New Ark SKU]],Table9[New Ark SKU],Table9[Cable],,0)</f>
        <v>±1350mm</v>
      </c>
      <c r="T991" s="484">
        <v>510</v>
      </c>
      <c r="U991" s="1213">
        <v>1584</v>
      </c>
      <c r="V991" s="1058">
        <f>PV_DATA[[#This Row],[QUANTITY]]*PV_DATA[[#This Row],[WATT]]/1000000</f>
        <v>0.80784</v>
      </c>
      <c r="W991" s="1071">
        <f>PV_DATA[[#This Row],[QUANTITY]]/PV_DATA[[#This Row],[Qty/Pallet]]</f>
        <v>44</v>
      </c>
      <c r="X991" s="1120">
        <f>PV_DATA[[#This Row],[QUANTITY]]/PV_DATA[[#This Row],[Qty/CT]]</f>
        <v>2</v>
      </c>
      <c r="Y991" s="476" t="s">
        <v>2465</v>
      </c>
      <c r="Z991" s="476" t="str">
        <f t="shared" si="16"/>
        <v/>
      </c>
      <c r="AA991" s="476" t="s">
        <v>5848</v>
      </c>
      <c r="AB991" s="1016">
        <v>46273</v>
      </c>
      <c r="AC991" s="1062">
        <f>IF(PV_DATA[[#This Row],[Pick-Up Date]]&lt;&gt;"",_xlfn.ISOWEEKNUM(PV_DATA[[#This Row],[Pick-Up Date]]),"")</f>
        <v>37</v>
      </c>
      <c r="AD991" s="476" t="s">
        <v>6506</v>
      </c>
      <c r="AF991" s="476" t="s">
        <v>122</v>
      </c>
      <c r="AG991" s="476" t="s">
        <v>123</v>
      </c>
      <c r="AH991" s="476" t="s">
        <v>78</v>
      </c>
      <c r="AI991" s="1016">
        <v>46271</v>
      </c>
      <c r="AJ991" s="1016">
        <v>46275</v>
      </c>
      <c r="AK991" s="1016"/>
      <c r="AL991" s="1016">
        <v>46316</v>
      </c>
      <c r="AM991" s="1387"/>
      <c r="AN991" s="1063"/>
      <c r="AP991" s="476" t="s">
        <v>6507</v>
      </c>
      <c r="AQ991" s="1064" t="s">
        <v>161</v>
      </c>
      <c r="AR991" s="1067" t="s">
        <v>6508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1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16" t="str">
        <f>IF(ISERROR(PV_DATA[[#This Row],[New Ark PO status]]),"",_xlfn.XLOOKUP(PV_DATA[[#This Row],[SPTN-PVHK New Ark PO'#]],New_Ark_Data[Purchase order Number],New_Ark_Data[Estimated time of arrival],"",0))</f>
        <v/>
      </c>
      <c r="AZ99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16">
        <f>IFERROR(PV_DATA[[#This Row],[ODP ETA Port]]+PV_DATA[[#This Row],[Customs/Leg3 Assumption]],"n/a")</f>
        <v>46324</v>
      </c>
      <c r="BB991" s="484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 hidden="1">
      <c r="A992" s="1077" t="s">
        <v>6509</v>
      </c>
      <c r="B992" s="1066" t="s">
        <v>111</v>
      </c>
      <c r="C992" s="723" t="str">
        <f>IFERROR(LEFT(PV_DATA[[#This Row],[TCL REFERENCE]],FIND(".",PV_DATA[[#This Row],[TCL REFERENCE]],1)-1),"Main Line")</f>
        <v>26Jul016</v>
      </c>
      <c r="D992" s="1066" t="s">
        <v>63</v>
      </c>
      <c r="E992" s="723" t="s">
        <v>64</v>
      </c>
      <c r="F992" s="106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3" t="s">
        <v>402</v>
      </c>
      <c r="H992" s="723" t="s">
        <v>67</v>
      </c>
      <c r="I992" s="723" t="s">
        <v>689</v>
      </c>
      <c r="J992" s="476" t="s">
        <v>96</v>
      </c>
      <c r="L992" s="1067"/>
      <c r="M992" s="476" t="s">
        <v>68</v>
      </c>
      <c r="N992" s="1068">
        <v>46234</v>
      </c>
      <c r="O992" s="1067" t="s">
        <v>5374</v>
      </c>
      <c r="P992" s="1067" t="s">
        <v>5730</v>
      </c>
      <c r="Q992" s="1067" t="s">
        <v>5731</v>
      </c>
      <c r="R992" s="1067" t="str">
        <f>_xlfn.XLOOKUP(PV_DATA[[#This Row],[New Ark SKU]],Table9[New Ark SKU],Table9[Connector],,0)</f>
        <v>EVO2A</v>
      </c>
      <c r="S992" s="1069" t="str">
        <f>_xlfn.XLOOKUP(PV_DATA[[#This Row],[New Ark SKU]],Table9[New Ark SKU],Table9[Cable],,0)</f>
        <v>±1200mm</v>
      </c>
      <c r="T992" s="1069">
        <v>475</v>
      </c>
      <c r="U992" s="1213">
        <f>936*3</f>
        <v>2808</v>
      </c>
      <c r="V992" s="1070">
        <f>PV_DATA[[#This Row],[QUANTITY]]*PV_DATA[[#This Row],[WATT]]/1000000</f>
        <v>1.3338000000000001</v>
      </c>
      <c r="W992" s="1071">
        <f>PV_DATA[[#This Row],[QUANTITY]]/PV_DATA[[#This Row],[Qty/Pallet]]</f>
        <v>78</v>
      </c>
      <c r="X992" s="1203">
        <f>PV_DATA[[#This Row],[QUANTITY]]/PV_DATA[[#This Row],[Qty/CT]]</f>
        <v>3</v>
      </c>
      <c r="Y992" s="476" t="s">
        <v>2466</v>
      </c>
      <c r="Z992" s="476" t="str">
        <f t="shared" si="16"/>
        <v/>
      </c>
      <c r="AA992" s="1067" t="s">
        <v>6421</v>
      </c>
      <c r="AB992" s="1072">
        <v>46273</v>
      </c>
      <c r="AC992" s="1073">
        <f>IF(PV_DATA[[#This Row],[Pick-Up Date]]&lt;&gt;"",_xlfn.ISOWEEKNUM(PV_DATA[[#This Row],[Pick-Up Date]]),"")</f>
        <v>37</v>
      </c>
      <c r="AD992" s="1067" t="s">
        <v>6510</v>
      </c>
      <c r="AE992" s="1067"/>
      <c r="AF992" s="1067" t="s">
        <v>122</v>
      </c>
      <c r="AG992" s="1067" t="s">
        <v>123</v>
      </c>
      <c r="AH992" s="476" t="s">
        <v>78</v>
      </c>
      <c r="AI992" s="1072">
        <v>46271</v>
      </c>
      <c r="AJ992" s="1072">
        <v>46275</v>
      </c>
      <c r="AK992" s="1016"/>
      <c r="AL992" s="1072">
        <v>46316</v>
      </c>
      <c r="AM992" s="1072"/>
      <c r="AN992" s="1063"/>
      <c r="AO992" s="1067"/>
      <c r="AP992" s="1067" t="s">
        <v>6507</v>
      </c>
      <c r="AQ992" s="1078" t="s">
        <v>161</v>
      </c>
      <c r="AR992" s="1067" t="s">
        <v>6508</v>
      </c>
      <c r="AS992" s="1067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67"/>
      <c r="AW992" s="1072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2" t="str">
        <f>IF(ISERROR(PV_DATA[[#This Row],[New Ark PO status]]),"",_xlfn.XLOOKUP(PV_DATA[[#This Row],[SPTN-PVHK New Ark PO'#]],New_Ark_Data[Purchase order Number],New_Ark_Data[Estimated time of arrival],"",0))</f>
        <v/>
      </c>
      <c r="AZ992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2">
        <f>IFERROR(PV_DATA[[#This Row],[ODP ETA Port]]+PV_DATA[[#This Row],[Customs/Leg3 Assumption]],"n/a")</f>
        <v>46324</v>
      </c>
      <c r="BB992" s="1069">
        <f>YEAR(PV_DATA[[#This Row],[ETA for New Ark update]])</f>
        <v>2026</v>
      </c>
      <c r="BC992" s="1067">
        <f>MONTH(PV_DATA[[#This Row],[ETA for New Ark update]])</f>
        <v>10</v>
      </c>
      <c r="BD992" s="1067">
        <f>IFERROR(_xlfn.ISOWEEKNUM(PV_DATA[[#This Row],[ETA for New Ark update]]),0)</f>
        <v>44</v>
      </c>
      <c r="BE992" s="1067">
        <f>_xlfn.XLOOKUP(PV_DATA[[#This Row],[New Ark SKU]],Table9[New Ark SKU],Table9[Total PCS per Pallet],,0)</f>
        <v>36</v>
      </c>
      <c r="BF992" s="1067">
        <f>_xlfn.XLOOKUP(PV_DATA[[#This Row],[New Ark SKU]],Table9[New Ark SKU],Table9[Total PCS per 40HQ Container],,0)</f>
        <v>936</v>
      </c>
      <c r="BG992" s="1067" t="str">
        <f>_xlfn.XLOOKUP(PV_DATA[[#This Row],[New Ark SKU]],Table9[New Ark SKU],Table9[Back Glass],,0)</f>
        <v>White glazing</v>
      </c>
      <c r="BH992" s="1074" t="str">
        <f>_xlfn.XLOOKUP(PV_DATA[[#This Row],[PORT DESTINATION]],Table12[PORT DESTINATION],Table12[Cosco Line],,0)</f>
        <v>AEM</v>
      </c>
    </row>
    <row r="993" spans="1:60" s="476" customFormat="1" ht="10.5" hidden="1">
      <c r="A993" s="1077" t="s">
        <v>6511</v>
      </c>
      <c r="B993" s="723" t="s">
        <v>111</v>
      </c>
      <c r="C993" s="723" t="str">
        <f>IFERROR(LEFT(PV_DATA[[#This Row],[TCL REFERENCE]],FIND(".",PV_DATA[[#This Row],[TCL REFERENCE]],1)-1),"Main Line")</f>
        <v>26Aug019</v>
      </c>
      <c r="D993" s="723" t="s">
        <v>63</v>
      </c>
      <c r="E993" s="723" t="s">
        <v>64</v>
      </c>
      <c r="F993" s="72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3" t="s">
        <v>402</v>
      </c>
      <c r="H993" s="723" t="s">
        <v>67</v>
      </c>
      <c r="I993" s="723" t="s">
        <v>689</v>
      </c>
      <c r="J993" s="476" t="s">
        <v>96</v>
      </c>
      <c r="M993" s="476" t="s">
        <v>6273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>_xlfn.XLOOKUP(PV_DATA[[#This Row],[New Ark SKU]],Table9[New Ark SKU],Table9[Connector],,0)</f>
        <v>EVO2A</v>
      </c>
      <c r="S993" s="484" t="str">
        <f>_xlfn.XLOOKUP(PV_DATA[[#This Row],[New Ark SKU]],Table9[New Ark SKU],Table9[Cable],,0)</f>
        <v>±1200mm</v>
      </c>
      <c r="T993" s="484">
        <v>465</v>
      </c>
      <c r="U993" s="1213">
        <v>864</v>
      </c>
      <c r="V993" s="1079">
        <f>PV_DATA[[#This Row],[QUANTITY]]*PV_DATA[[#This Row],[WATT]]/1000000</f>
        <v>0.40176000000000001</v>
      </c>
      <c r="W993" s="1071">
        <f>PV_DATA[[#This Row],[QUANTITY]]/PV_DATA[[#This Row],[Qty/Pallet]]</f>
        <v>24</v>
      </c>
      <c r="X993" s="1120">
        <f>PV_DATA[[#This Row],[QUANTITY]]/PV_DATA[[#This Row],[Qty/CT]]</f>
        <v>1</v>
      </c>
      <c r="Y993" s="476" t="s">
        <v>2467</v>
      </c>
      <c r="AA993" s="476" t="s">
        <v>5848</v>
      </c>
      <c r="AB993" s="1016">
        <v>46273</v>
      </c>
      <c r="AC993" s="1062"/>
      <c r="AD993" s="476" t="s">
        <v>6512</v>
      </c>
      <c r="AF993" s="476" t="s">
        <v>122</v>
      </c>
      <c r="AG993" s="476" t="s">
        <v>123</v>
      </c>
      <c r="AH993" s="476" t="s">
        <v>78</v>
      </c>
      <c r="AI993" s="1072">
        <v>46271</v>
      </c>
      <c r="AJ993" s="1016">
        <v>46275</v>
      </c>
      <c r="AK993" s="1016"/>
      <c r="AL993" s="1072">
        <v>46316</v>
      </c>
      <c r="AM993" s="1016"/>
      <c r="AN993" s="1016"/>
      <c r="AP993" s="1067" t="s">
        <v>6507</v>
      </c>
      <c r="AQ993" s="1078" t="s">
        <v>161</v>
      </c>
      <c r="AR993" s="476" t="s">
        <v>6508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16"/>
      <c r="AW993" s="1016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16" t="str">
        <f>IF(ISERROR(PV_DATA[[#This Row],[New Ark PO status]]),"",_xlfn.XLOOKUP(PV_DATA[[#This Row],[SPTN-PVHK New Ark PO'#]],New_Ark_Data[Purchase order Number],New_Ark_Data[Estimated time of arrival],"",0))</f>
        <v/>
      </c>
      <c r="AZ993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16">
        <f>IFERROR(PV_DATA[[#This Row],[ODP ETA Port]]+PV_DATA[[#This Row],[Customs/Leg3 Assumption]],"n/a")</f>
        <v>46324</v>
      </c>
      <c r="BB993" s="484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 hidden="1">
      <c r="A994" s="1077" t="s">
        <v>6513</v>
      </c>
      <c r="B994" s="723" t="s">
        <v>111</v>
      </c>
      <c r="C994" s="723" t="str">
        <f>IFERROR(LEFT(PV_DATA[[#This Row],[TCL REFERENCE]],FIND(".",PV_DATA[[#This Row],[TCL REFERENCE]],1)-1),"Main Line")</f>
        <v>26Jul004</v>
      </c>
      <c r="D994" s="723" t="s">
        <v>63</v>
      </c>
      <c r="E994" s="723" t="s">
        <v>64</v>
      </c>
      <c r="F994" s="72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3" t="s">
        <v>402</v>
      </c>
      <c r="H994" s="723" t="s">
        <v>67</v>
      </c>
      <c r="I994" s="723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>_xlfn.XLOOKUP(PV_DATA[[#This Row],[New Ark SKU]],Table9[New Ark SKU],Table9[Connector],,0)</f>
        <v>EVO2A</v>
      </c>
      <c r="S994" s="484" t="str">
        <f>_xlfn.XLOOKUP(PV_DATA[[#This Row],[New Ark SKU]],Table9[New Ark SKU],Table9[Cable],,0)</f>
        <v>±1200mm</v>
      </c>
      <c r="T994" s="484">
        <v>470</v>
      </c>
      <c r="U994" s="1213">
        <v>1728</v>
      </c>
      <c r="V994" s="1058">
        <f>PV_DATA[[#This Row],[QUANTITY]]*PV_DATA[[#This Row],[WATT]]/1000000</f>
        <v>0.81215999999999999</v>
      </c>
      <c r="W994" s="1071">
        <f>PV_DATA[[#This Row],[QUANTITY]]/PV_DATA[[#This Row],[Qty/Pallet]]</f>
        <v>48</v>
      </c>
      <c r="X994" s="1120">
        <f>PV_DATA[[#This Row],[QUANTITY]]/PV_DATA[[#This Row],[Qty/CT]]</f>
        <v>2</v>
      </c>
      <c r="Y994" s="476" t="s">
        <v>2466</v>
      </c>
      <c r="Z994" s="476" t="str">
        <f t="shared" si="16"/>
        <v/>
      </c>
      <c r="AA994" s="476" t="s">
        <v>5848</v>
      </c>
      <c r="AB994" s="1016">
        <v>46271</v>
      </c>
      <c r="AC994" s="1062">
        <f>IF(PV_DATA[[#This Row],[Pick-Up Date]]&lt;&gt;"",_xlfn.ISOWEEKNUM(PV_DATA[[#This Row],[Pick-Up Date]]),"")</f>
        <v>36</v>
      </c>
      <c r="AD994" s="476" t="s">
        <v>6514</v>
      </c>
      <c r="AF994" s="476" t="s">
        <v>122</v>
      </c>
      <c r="AG994" s="476" t="s">
        <v>123</v>
      </c>
      <c r="AH994" s="476" t="s">
        <v>78</v>
      </c>
      <c r="AI994" s="1016">
        <v>46260</v>
      </c>
      <c r="AJ994" s="1016">
        <v>46276</v>
      </c>
      <c r="AK994" s="1016"/>
      <c r="AL994" s="1016">
        <v>46309</v>
      </c>
      <c r="AM994" s="1016"/>
      <c r="AN994" s="1063"/>
      <c r="AP994" s="476" t="s">
        <v>6515</v>
      </c>
      <c r="AQ994" s="1064" t="s">
        <v>161</v>
      </c>
      <c r="AR994" s="476" t="s">
        <v>6516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4" s="1016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16" t="str">
        <f>IF(ISERROR(PV_DATA[[#This Row],[New Ark PO status]]),"",_xlfn.XLOOKUP(PV_DATA[[#This Row],[SPTN-PVHK New Ark PO'#]],New_Ark_Data[Purchase order Number],New_Ark_Data[Estimated time of arrival],"",0))</f>
        <v/>
      </c>
      <c r="AZ994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16">
        <f>IFERROR(PV_DATA[[#This Row],[ODP ETA Port]]+PV_DATA[[#This Row],[Customs/Leg3 Assumption]],"n/a")</f>
        <v>46317</v>
      </c>
      <c r="BB994" s="484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 hidden="1">
      <c r="A995" s="1077" t="s">
        <v>6517</v>
      </c>
      <c r="B995" s="723" t="s">
        <v>111</v>
      </c>
      <c r="C995" s="723" t="str">
        <f>IFERROR(LEFT(PV_DATA[[#This Row],[TCL REFERENCE]],FIND(".",PV_DATA[[#This Row],[TCL REFERENCE]],1)-1),"Main Line")</f>
        <v>26Jul016</v>
      </c>
      <c r="D995" s="723" t="s">
        <v>63</v>
      </c>
      <c r="E995" s="723" t="s">
        <v>64</v>
      </c>
      <c r="F995" s="1066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3" t="s">
        <v>402</v>
      </c>
      <c r="H995" s="723" t="s">
        <v>67</v>
      </c>
      <c r="I995" s="723" t="s">
        <v>689</v>
      </c>
      <c r="J995" s="1067" t="s">
        <v>96</v>
      </c>
      <c r="M995" s="476" t="s">
        <v>68</v>
      </c>
      <c r="N995" s="477">
        <v>46237</v>
      </c>
      <c r="O995" s="476" t="s">
        <v>5374</v>
      </c>
      <c r="P995" s="476" t="s">
        <v>5730</v>
      </c>
      <c r="Q995" s="476" t="s">
        <v>5731</v>
      </c>
      <c r="R995" s="476" t="str">
        <f>_xlfn.XLOOKUP(PV_DATA[[#This Row],[New Ark SKU]],Table9[New Ark SKU],Table9[Connector],,0)</f>
        <v>EVO2A</v>
      </c>
      <c r="S995" s="484" t="str">
        <f>_xlfn.XLOOKUP(PV_DATA[[#This Row],[New Ark SKU]],Table9[New Ark SKU],Table9[Cable],,0)</f>
        <v>±1200mm</v>
      </c>
      <c r="T995" s="484">
        <v>475</v>
      </c>
      <c r="U995" s="1213">
        <f>936*8</f>
        <v>7488</v>
      </c>
      <c r="V995" s="1058">
        <f>PV_DATA[[#This Row],[QUANTITY]]*PV_DATA[[#This Row],[WATT]]/1000000</f>
        <v>3.5568</v>
      </c>
      <c r="W995" s="1059">
        <f>PV_DATA[[#This Row],[QUANTITY]]/PV_DATA[[#This Row],[Qty/Pallet]]</f>
        <v>208</v>
      </c>
      <c r="X995" s="1120">
        <f>PV_DATA[[#This Row],[QUANTITY]]/PV_DATA[[#This Row],[Qty/CT]]</f>
        <v>8</v>
      </c>
      <c r="Y995" s="476" t="s">
        <v>2465</v>
      </c>
      <c r="Z995" s="476" t="str">
        <f t="shared" si="16"/>
        <v/>
      </c>
      <c r="AB995" s="1016">
        <v>46271</v>
      </c>
      <c r="AC995" s="1062">
        <f>IF(PV_DATA[[#This Row],[Pick-Up Date]]&lt;&gt;"",_xlfn.ISOWEEKNUM(PV_DATA[[#This Row],[Pick-Up Date]]),"")</f>
        <v>36</v>
      </c>
      <c r="AD995" s="476" t="s">
        <v>6518</v>
      </c>
      <c r="AF995" s="476" t="s">
        <v>122</v>
      </c>
      <c r="AG995" s="476" t="s">
        <v>123</v>
      </c>
      <c r="AH995" s="476" t="s">
        <v>78</v>
      </c>
      <c r="AI995" s="1016">
        <v>46260</v>
      </c>
      <c r="AJ995" s="1016">
        <v>46276</v>
      </c>
      <c r="AK995" s="1016"/>
      <c r="AL995" s="1016">
        <v>46309</v>
      </c>
      <c r="AM995" s="1016"/>
      <c r="AN995" s="1063"/>
      <c r="AP995" s="476" t="s">
        <v>6515</v>
      </c>
      <c r="AQ995" s="1064" t="s">
        <v>161</v>
      </c>
      <c r="AR995" s="476" t="s">
        <v>6516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5" s="101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16" t="str">
        <f>IF(ISERROR(PV_DATA[[#This Row],[New Ark PO status]]),"",_xlfn.XLOOKUP(PV_DATA[[#This Row],[SPTN-PVHK New Ark PO'#]],New_Ark_Data[Purchase order Number],New_Ark_Data[Estimated time of arrival],"",0))</f>
        <v/>
      </c>
      <c r="AZ99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16">
        <f>IFERROR(PV_DATA[[#This Row],[ODP ETA Port]]+PV_DATA[[#This Row],[Customs/Leg3 Assumption]],"n/a")</f>
        <v>46317</v>
      </c>
      <c r="BB995" s="484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65" t="str">
        <f>_xlfn.XLOOKUP(PV_DATA[[#This Row],[PORT DESTINATION]],Table12[PORT DESTINATION],Table12[Cosco Line],,0)</f>
        <v>AEM</v>
      </c>
    </row>
    <row r="996" spans="1:60" s="476" customFormat="1" ht="10.5" hidden="1">
      <c r="A996" s="1077" t="s">
        <v>6519</v>
      </c>
      <c r="B996" s="1066" t="s">
        <v>111</v>
      </c>
      <c r="C996" s="723" t="str">
        <f>IFERROR(LEFT(PV_DATA[[#This Row],[TCL REFERENCE]],FIND(".",PV_DATA[[#This Row],[TCL REFERENCE]],1)-1),"Main Line")</f>
        <v>26Jul016</v>
      </c>
      <c r="D996" s="1066" t="s">
        <v>63</v>
      </c>
      <c r="E996" s="723" t="s">
        <v>64</v>
      </c>
      <c r="F996" s="72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3" t="s">
        <v>402</v>
      </c>
      <c r="H996" s="723" t="s">
        <v>67</v>
      </c>
      <c r="I996" s="723" t="s">
        <v>689</v>
      </c>
      <c r="J996" s="476" t="s">
        <v>96</v>
      </c>
      <c r="M996" s="476" t="s">
        <v>68</v>
      </c>
      <c r="N996" s="1068">
        <v>46234</v>
      </c>
      <c r="O996" s="1067" t="s">
        <v>5374</v>
      </c>
      <c r="P996" s="1067" t="s">
        <v>5730</v>
      </c>
      <c r="Q996" s="1067" t="s">
        <v>5731</v>
      </c>
      <c r="R996" s="1067" t="str">
        <f>_xlfn.XLOOKUP(PV_DATA[[#This Row],[New Ark SKU]],Table9[New Ark SKU],Table9[Connector],,0)</f>
        <v>EVO2A</v>
      </c>
      <c r="S996" s="1069" t="str">
        <f>_xlfn.XLOOKUP(PV_DATA[[#This Row],[New Ark SKU]],Table9[New Ark SKU],Table9[Cable],,0)</f>
        <v>±1200mm</v>
      </c>
      <c r="T996" s="1069">
        <v>475</v>
      </c>
      <c r="U996" s="1213">
        <f>936*1</f>
        <v>936</v>
      </c>
      <c r="V996" s="1070">
        <f>PV_DATA[[#This Row],[QUANTITY]]*PV_DATA[[#This Row],[WATT]]/1000000</f>
        <v>0.4446</v>
      </c>
      <c r="W996" s="1071">
        <f>PV_DATA[[#This Row],[QUANTITY]]/PV_DATA[[#This Row],[Qty/Pallet]]</f>
        <v>26</v>
      </c>
      <c r="X996" s="1203">
        <f>PV_DATA[[#This Row],[QUANTITY]]/PV_DATA[[#This Row],[Qty/CT]]</f>
        <v>1</v>
      </c>
      <c r="Y996" s="476" t="s">
        <v>2464</v>
      </c>
      <c r="Z996" s="476" t="str">
        <f t="shared" si="16"/>
        <v/>
      </c>
      <c r="AA996" s="1067" t="s">
        <v>6421</v>
      </c>
      <c r="AB996" s="1072">
        <v>46271</v>
      </c>
      <c r="AC996" s="1073">
        <f>IF(PV_DATA[[#This Row],[Pick-Up Date]]&lt;&gt;"",_xlfn.ISOWEEKNUM(PV_DATA[[#This Row],[Pick-Up Date]]),"")</f>
        <v>36</v>
      </c>
      <c r="AD996" s="1067" t="s">
        <v>6520</v>
      </c>
      <c r="AE996" s="1067"/>
      <c r="AF996" s="476" t="s">
        <v>122</v>
      </c>
      <c r="AG996" s="476" t="s">
        <v>123</v>
      </c>
      <c r="AH996" s="476" t="s">
        <v>78</v>
      </c>
      <c r="AI996" s="1016">
        <v>46260</v>
      </c>
      <c r="AJ996" s="1016">
        <v>46277</v>
      </c>
      <c r="AK996" s="1016"/>
      <c r="AL996" s="1016">
        <v>46309</v>
      </c>
      <c r="AM996" s="1016"/>
      <c r="AN996" s="1063"/>
      <c r="AP996" s="476" t="s">
        <v>6515</v>
      </c>
      <c r="AQ996" s="1064" t="s">
        <v>161</v>
      </c>
      <c r="AR996" s="476" t="s">
        <v>6521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67"/>
      <c r="AW996" s="1072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2" t="str">
        <f>IF(ISERROR(PV_DATA[[#This Row],[New Ark PO status]]),"",_xlfn.XLOOKUP(PV_DATA[[#This Row],[SPTN-PVHK New Ark PO'#]],New_Ark_Data[Purchase order Number],New_Ark_Data[Estimated time of arrival],"",0))</f>
        <v/>
      </c>
      <c r="AZ996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2">
        <f>IFERROR(PV_DATA[[#This Row],[ODP ETA Port]]+PV_DATA[[#This Row],[Customs/Leg3 Assumption]],"n/a")</f>
        <v>46317</v>
      </c>
      <c r="BB996" s="1069">
        <f>YEAR(PV_DATA[[#This Row],[ETA for New Ark update]])</f>
        <v>2026</v>
      </c>
      <c r="BC996" s="1067">
        <f>MONTH(PV_DATA[[#This Row],[ETA for New Ark update]])</f>
        <v>10</v>
      </c>
      <c r="BD996" s="1067">
        <f>IFERROR(_xlfn.ISOWEEKNUM(PV_DATA[[#This Row],[ETA for New Ark update]]),0)</f>
        <v>43</v>
      </c>
      <c r="BE996" s="1067">
        <f>_xlfn.XLOOKUP(PV_DATA[[#This Row],[New Ark SKU]],Table9[New Ark SKU],Table9[Total PCS per Pallet],,0)</f>
        <v>36</v>
      </c>
      <c r="BF996" s="1067">
        <f>_xlfn.XLOOKUP(PV_DATA[[#This Row],[New Ark SKU]],Table9[New Ark SKU],Table9[Total PCS per 40HQ Container],,0)</f>
        <v>936</v>
      </c>
      <c r="BG996" s="1067" t="str">
        <f>_xlfn.XLOOKUP(PV_DATA[[#This Row],[New Ark SKU]],Table9[New Ark SKU],Table9[Back Glass],,0)</f>
        <v>White glazing</v>
      </c>
      <c r="BH996" s="1074" t="str">
        <f>_xlfn.XLOOKUP(PV_DATA[[#This Row],[PORT DESTINATION]],Table12[PORT DESTINATION],Table12[Cosco Line],,0)</f>
        <v>AEM</v>
      </c>
    </row>
    <row r="997" spans="1:60" s="476" customFormat="1" ht="10.5" hidden="1">
      <c r="A997" s="1077" t="s">
        <v>6522</v>
      </c>
      <c r="B997" s="723" t="s">
        <v>111</v>
      </c>
      <c r="C997" s="723" t="str">
        <f>IFERROR(LEFT(PV_DATA[[#This Row],[TCL REFERENCE]],FIND(".",PV_DATA[[#This Row],[TCL REFERENCE]],1)-1),"Main Line")</f>
        <v>26Aug001</v>
      </c>
      <c r="D997" s="723" t="s">
        <v>63</v>
      </c>
      <c r="E997" s="723" t="s">
        <v>64</v>
      </c>
      <c r="F997" s="72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3" t="s">
        <v>402</v>
      </c>
      <c r="H997" s="723" t="s">
        <v>67</v>
      </c>
      <c r="I997" s="723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>_xlfn.XLOOKUP(PV_DATA[[#This Row],[New Ark SKU]],Table9[New Ark SKU],Table9[Connector],,0)</f>
        <v>EVO2A</v>
      </c>
      <c r="S997" s="484" t="str">
        <f>_xlfn.XLOOKUP(PV_DATA[[#This Row],[New Ark SKU]],Table9[New Ark SKU],Table9[Cable],,0)</f>
        <v>±1350mm</v>
      </c>
      <c r="T997" s="484">
        <v>510</v>
      </c>
      <c r="U997" s="1213">
        <f>792*4</f>
        <v>3168</v>
      </c>
      <c r="V997" s="1058">
        <f>PV_DATA[[#This Row],[QUANTITY]]*PV_DATA[[#This Row],[WATT]]/1000000</f>
        <v>1.61568</v>
      </c>
      <c r="W997" s="1071">
        <f>PV_DATA[[#This Row],[QUANTITY]]/PV_DATA[[#This Row],[Qty/Pallet]]</f>
        <v>88</v>
      </c>
      <c r="X997" s="1120">
        <f>PV_DATA[[#This Row],[QUANTITY]]/PV_DATA[[#This Row],[Qty/CT]]</f>
        <v>4</v>
      </c>
      <c r="Y997" s="476" t="s">
        <v>2464</v>
      </c>
      <c r="Z997" s="476" t="str">
        <f t="shared" si="16"/>
        <v/>
      </c>
      <c r="AB997" s="1016">
        <v>46271</v>
      </c>
      <c r="AC997" s="1062">
        <f>IF(PV_DATA[[#This Row],[Pick-Up Date]]&lt;&gt;"",_xlfn.ISOWEEKNUM(PV_DATA[[#This Row],[Pick-Up Date]]),"")</f>
        <v>36</v>
      </c>
      <c r="AD997" s="476" t="s">
        <v>6523</v>
      </c>
      <c r="AF997" s="476" t="s">
        <v>122</v>
      </c>
      <c r="AG997" s="476" t="s">
        <v>123</v>
      </c>
      <c r="AH997" s="476" t="s">
        <v>78</v>
      </c>
      <c r="AI997" s="1016">
        <v>46260</v>
      </c>
      <c r="AJ997" s="1016">
        <v>46277</v>
      </c>
      <c r="AK997" s="1016"/>
      <c r="AL997" s="1108">
        <v>46309</v>
      </c>
      <c r="AM997" s="1108"/>
      <c r="AN997" s="1063"/>
      <c r="AP997" s="476" t="s">
        <v>6515</v>
      </c>
      <c r="AQ997" s="1064" t="s">
        <v>161</v>
      </c>
      <c r="AR997" s="476" t="s">
        <v>6521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16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16" t="str">
        <f>IF(ISERROR(PV_DATA[[#This Row],[New Ark PO status]]),"",_xlfn.XLOOKUP(PV_DATA[[#This Row],[SPTN-PVHK New Ark PO'#]],New_Ark_Data[Purchase order Number],New_Ark_Data[Estimated time of arrival],"",0))</f>
        <v/>
      </c>
      <c r="AZ99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16">
        <f>IFERROR(PV_DATA[[#This Row],[ODP ETA Port]]+PV_DATA[[#This Row],[Customs/Leg3 Assumption]],"n/a")</f>
        <v>46317</v>
      </c>
      <c r="BB997" s="484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65" t="str">
        <f>_xlfn.XLOOKUP(PV_DATA[[#This Row],[PORT DESTINATION]],Table12[PORT DESTINATION],Table12[Cosco Line],,0)</f>
        <v>AEM</v>
      </c>
    </row>
    <row r="998" spans="1:60" s="476" customFormat="1" ht="10.5" hidden="1">
      <c r="A998" s="1077" t="s">
        <v>6524</v>
      </c>
      <c r="B998" s="723" t="s">
        <v>111</v>
      </c>
      <c r="C998" s="723" t="str">
        <f>IFERROR(LEFT(PV_DATA[[#This Row],[TCL REFERENCE]],FIND(".",PV_DATA[[#This Row],[TCL REFERENCE]],1)-1),"Main Line")</f>
        <v>26Jul019</v>
      </c>
      <c r="D998" s="723" t="s">
        <v>63</v>
      </c>
      <c r="E998" s="723" t="s">
        <v>64</v>
      </c>
      <c r="F998" s="72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3" t="s">
        <v>402</v>
      </c>
      <c r="H998" s="723" t="s">
        <v>67</v>
      </c>
      <c r="I998" s="723" t="s">
        <v>689</v>
      </c>
      <c r="J998" s="476" t="s">
        <v>96</v>
      </c>
      <c r="M998" s="476" t="s">
        <v>68</v>
      </c>
      <c r="N998" s="477">
        <v>46234</v>
      </c>
      <c r="O998" s="476" t="s">
        <v>5374</v>
      </c>
      <c r="P998" s="476" t="s">
        <v>6253</v>
      </c>
      <c r="Q998" s="476" t="s">
        <v>6254</v>
      </c>
      <c r="R998" s="476" t="str">
        <f>_xlfn.XLOOKUP(PV_DATA[[#This Row],[New Ark SKU]],Table9[New Ark SKU],Table9[Connector],,0)</f>
        <v>EVO2A</v>
      </c>
      <c r="S998" s="484" t="str">
        <f>_xlfn.XLOOKUP(PV_DATA[[#This Row],[New Ark SKU]],Table9[New Ark SKU],Table9[Cable],,0)</f>
        <v>±1200mm</v>
      </c>
      <c r="T998" s="484">
        <v>480</v>
      </c>
      <c r="U998" s="1213">
        <v>1872</v>
      </c>
      <c r="V998" s="1058">
        <f>PV_DATA[[#This Row],[QUANTITY]]*PV_DATA[[#This Row],[WATT]]/1000000</f>
        <v>0.89856000000000003</v>
      </c>
      <c r="W998" s="1071">
        <f>PV_DATA[[#This Row],[QUANTITY]]/PV_DATA[[#This Row],[Qty/Pallet]]</f>
        <v>52</v>
      </c>
      <c r="X998" s="1120">
        <f>PV_DATA[[#This Row],[QUANTITY]]/PV_DATA[[#This Row],[Qty/CT]]</f>
        <v>2</v>
      </c>
      <c r="Y998" s="476" t="s">
        <v>2464</v>
      </c>
      <c r="Z998" s="476" t="str">
        <f t="shared" si="16"/>
        <v/>
      </c>
      <c r="AA998" s="476" t="s">
        <v>6421</v>
      </c>
      <c r="AB998" s="1016">
        <v>46271</v>
      </c>
      <c r="AC998" s="1062">
        <f>IF(PV_DATA[[#This Row],[Pick-Up Date]]&lt;&gt;"",_xlfn.ISOWEEKNUM(PV_DATA[[#This Row],[Pick-Up Date]]),"")</f>
        <v>36</v>
      </c>
      <c r="AD998" s="476" t="s">
        <v>6525</v>
      </c>
      <c r="AF998" s="476" t="s">
        <v>122</v>
      </c>
      <c r="AG998" s="476" t="s">
        <v>123</v>
      </c>
      <c r="AH998" s="476" t="s">
        <v>78</v>
      </c>
      <c r="AI998" s="1016">
        <v>46260</v>
      </c>
      <c r="AJ998" s="1016">
        <v>46277</v>
      </c>
      <c r="AK998" s="1016"/>
      <c r="AL998" s="1016">
        <v>46309</v>
      </c>
      <c r="AM998" s="1016"/>
      <c r="AN998" s="1063"/>
      <c r="AP998" s="476" t="s">
        <v>6515</v>
      </c>
      <c r="AQ998" s="1064" t="s">
        <v>161</v>
      </c>
      <c r="AR998" s="476" t="s">
        <v>6521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16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16" t="str">
        <f>IF(ISERROR(PV_DATA[[#This Row],[New Ark PO status]]),"",_xlfn.XLOOKUP(PV_DATA[[#This Row],[SPTN-PVHK New Ark PO'#]],New_Ark_Data[Purchase order Number],New_Ark_Data[Estimated time of arrival],"",0))</f>
        <v/>
      </c>
      <c r="AZ99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16">
        <f>IFERROR(PV_DATA[[#This Row],[ODP ETA Port]]+PV_DATA[[#This Row],[Customs/Leg3 Assumption]],"n/a")</f>
        <v>46317</v>
      </c>
      <c r="BB998" s="484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 hidden="1">
      <c r="A999" s="723" t="s">
        <v>6526</v>
      </c>
      <c r="B999" s="723" t="s">
        <v>111</v>
      </c>
      <c r="C999" s="723" t="str">
        <f>IFERROR(LEFT(PV_DATA[[#This Row],[TCL REFERENCE]],FIND(".",PV_DATA[[#This Row],[TCL REFERENCE]],1)-1),"Main Line")</f>
        <v>26Jul004</v>
      </c>
      <c r="D999" s="723" t="s">
        <v>63</v>
      </c>
      <c r="E999" s="723" t="s">
        <v>64</v>
      </c>
      <c r="F999" s="72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3" t="s">
        <v>402</v>
      </c>
      <c r="H999" s="723" t="s">
        <v>67</v>
      </c>
      <c r="I999" s="723" t="s">
        <v>689</v>
      </c>
      <c r="J999" s="476" t="s">
        <v>96</v>
      </c>
      <c r="M999" s="476" t="s">
        <v>6273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>_xlfn.XLOOKUP(PV_DATA[[#This Row],[New Ark SKU]],Table9[New Ark SKU],Table9[Connector],,0)</f>
        <v>EVO2A</v>
      </c>
      <c r="S999" s="484" t="str">
        <f>_xlfn.XLOOKUP(PV_DATA[[#This Row],[New Ark SKU]],Table9[New Ark SKU],Table9[Cable],,0)</f>
        <v>±1200mm</v>
      </c>
      <c r="T999" s="484">
        <v>470</v>
      </c>
      <c r="U999" s="1213">
        <v>864</v>
      </c>
      <c r="V999" s="1058">
        <f>PV_DATA[[#This Row],[QUANTITY]]*PV_DATA[[#This Row],[WATT]]/1000000</f>
        <v>0.40608</v>
      </c>
      <c r="W999" s="1071">
        <f>PV_DATA[[#This Row],[QUANTITY]]/PV_DATA[[#This Row],[Qty/Pallet]]</f>
        <v>24</v>
      </c>
      <c r="X999" s="1120">
        <f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5848</v>
      </c>
      <c r="AB999" s="1016">
        <v>46266</v>
      </c>
      <c r="AC999" s="1062">
        <f>IF(PV_DATA[[#This Row],[Pick-Up Date]]&lt;&gt;"",_xlfn.ISOWEEKNUM(PV_DATA[[#This Row],[Pick-Up Date]]),"")</f>
        <v>36</v>
      </c>
      <c r="AD999" s="476" t="s">
        <v>6527</v>
      </c>
      <c r="AF999" s="476" t="s">
        <v>122</v>
      </c>
      <c r="AG999" s="476" t="s">
        <v>123</v>
      </c>
      <c r="AH999" s="476" t="s">
        <v>78</v>
      </c>
      <c r="AI999" s="1016">
        <v>46274</v>
      </c>
      <c r="AJ999" s="1016">
        <f>IFERROR(VLOOKUP(AT999, Vessel!A:D, 4, FALSE), "")</f>
        <v>46273.041666666664</v>
      </c>
      <c r="AK999" s="1016">
        <v>46273</v>
      </c>
      <c r="AL999" s="1016">
        <v>46321</v>
      </c>
      <c r="AM999" s="1016"/>
      <c r="AN999" s="1063" t="str">
        <f>IFERROR(IF(VLOOKUP(AT999,Vessel!A:I,9,FALSE)=0,"",VLOOKUP(AT999,Vessel!A:I,9,FALSE)),"")</f>
        <v/>
      </c>
      <c r="AP999" s="476" t="s">
        <v>6493</v>
      </c>
      <c r="AQ999" s="1064" t="s">
        <v>80</v>
      </c>
      <c r="AR999" s="476" t="s">
        <v>6528</v>
      </c>
      <c r="AS999" s="476" t="s">
        <v>6529</v>
      </c>
      <c r="AT999" s="476" t="s">
        <v>6529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16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16">
        <f>IF(ISERROR(PV_DATA[[#This Row],[New Ark PO status]]),"",_xlfn.XLOOKUP(PV_DATA[[#This Row],[SPTN-PVHK New Ark PO'#]],New_Ark_Data[Purchase order Number],New_Ark_Data[Estimated time of arrival],"",0))</f>
        <v>46329</v>
      </c>
      <c r="AZ999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16">
        <f>IFERROR(PV_DATA[[#This Row],[ODP ETA Port]]+PV_DATA[[#This Row],[Customs/Leg3 Assumption]],"n/a")</f>
        <v>46329</v>
      </c>
      <c r="BB999" s="484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 hidden="1">
      <c r="A1000" s="723" t="s">
        <v>6530</v>
      </c>
      <c r="B1000" s="723" t="s">
        <v>111</v>
      </c>
      <c r="C1000" s="723" t="str">
        <f>IFERROR(LEFT(PV_DATA[[#This Row],[TCL REFERENCE]],FIND(".",PV_DATA[[#This Row],[TCL REFERENCE]],1)-1),"Main Line")</f>
        <v>26Aug019</v>
      </c>
      <c r="D1000" s="723" t="s">
        <v>63</v>
      </c>
      <c r="E1000" s="723" t="s">
        <v>64</v>
      </c>
      <c r="F1000" s="72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3" t="s">
        <v>402</v>
      </c>
      <c r="H1000" s="723" t="s">
        <v>67</v>
      </c>
      <c r="I1000" s="723" t="s">
        <v>689</v>
      </c>
      <c r="J1000" s="476" t="s">
        <v>96</v>
      </c>
      <c r="M1000" s="476" t="s">
        <v>6531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>_xlfn.XLOOKUP(PV_DATA[[#This Row],[New Ark SKU]],Table9[New Ark SKU],Table9[Connector],,0)</f>
        <v>EVO2A</v>
      </c>
      <c r="S1000" s="484" t="str">
        <f>_xlfn.XLOOKUP(PV_DATA[[#This Row],[New Ark SKU]],Table9[New Ark SKU],Table9[Cable],,0)</f>
        <v>±1200mm</v>
      </c>
      <c r="T1000" s="484">
        <v>465</v>
      </c>
      <c r="U1000" s="1213">
        <v>864</v>
      </c>
      <c r="V1000" s="1079">
        <f>PV_DATA[[#This Row],[QUANTITY]]*PV_DATA[[#This Row],[WATT]]/1000000</f>
        <v>0.40176000000000001</v>
      </c>
      <c r="W1000" s="1071">
        <f>PV_DATA[[#This Row],[QUANTITY]]/PV_DATA[[#This Row],[Qty/Pallet]]</f>
        <v>24</v>
      </c>
      <c r="X1000" s="1120">
        <f>PV_DATA[[#This Row],[QUANTITY]]/PV_DATA[[#This Row],[Qty/CT]]</f>
        <v>1</v>
      </c>
      <c r="Y1000" s="476" t="s">
        <v>2467</v>
      </c>
      <c r="AA1000" s="476" t="s">
        <v>5848</v>
      </c>
      <c r="AB1000" s="1016">
        <v>46266</v>
      </c>
      <c r="AC1000" s="1062"/>
      <c r="AD1000" s="476" t="s">
        <v>6532</v>
      </c>
      <c r="AF1000" s="476" t="s">
        <v>122</v>
      </c>
      <c r="AG1000" s="476" t="s">
        <v>123</v>
      </c>
      <c r="AH1000" s="476" t="s">
        <v>78</v>
      </c>
      <c r="AI1000" s="1016">
        <v>46274</v>
      </c>
      <c r="AJ1000" s="1016">
        <f>IFERROR(VLOOKUP(AT1000, Vessel!A:D, 4, FALSE), "")</f>
        <v>46273.041666666664</v>
      </c>
      <c r="AK1000" s="1016">
        <v>46273</v>
      </c>
      <c r="AL1000" s="1016">
        <v>46321</v>
      </c>
      <c r="AM1000" s="1016"/>
      <c r="AN1000" s="1016"/>
      <c r="AP1000" s="476" t="s">
        <v>6493</v>
      </c>
      <c r="AQ1000" s="476" t="s">
        <v>80</v>
      </c>
      <c r="AR1000" s="476" t="s">
        <v>6528</v>
      </c>
      <c r="AS1000" s="476" t="s">
        <v>6529</v>
      </c>
      <c r="AT1000" s="476" t="s">
        <v>6529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16"/>
      <c r="AW1000" s="1016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16">
        <f>IF(ISERROR(PV_DATA[[#This Row],[New Ark PO status]]),"",_xlfn.XLOOKUP(PV_DATA[[#This Row],[SPTN-PVHK New Ark PO'#]],New_Ark_Data[Purchase order Number],New_Ark_Data[Estimated time of arrival],"",0))</f>
        <v>46329</v>
      </c>
      <c r="AZ100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16">
        <f>IFERROR(PV_DATA[[#This Row],[ODP ETA Port]]+PV_DATA[[#This Row],[Customs/Leg3 Assumption]],"n/a")</f>
        <v>46329</v>
      </c>
      <c r="BB1000" s="484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 hidden="1">
      <c r="A1001" s="723" t="s">
        <v>6533</v>
      </c>
      <c r="B1001" s="723" t="s">
        <v>111</v>
      </c>
      <c r="C1001" s="723" t="str">
        <f>IFERROR(LEFT(PV_DATA[[#This Row],[TCL REFERENCE]],FIND(".",PV_DATA[[#This Row],[TCL REFERENCE]],1)-1),"Main Line")</f>
        <v>26Jul014</v>
      </c>
      <c r="D1001" s="723" t="s">
        <v>63</v>
      </c>
      <c r="E1001" s="723" t="s">
        <v>64</v>
      </c>
      <c r="F1001" s="72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3" t="s">
        <v>402</v>
      </c>
      <c r="H1001" s="723" t="s">
        <v>115</v>
      </c>
      <c r="I1001" s="723" t="s">
        <v>689</v>
      </c>
      <c r="J1001" s="476" t="s">
        <v>96</v>
      </c>
      <c r="M1001" s="476" t="s">
        <v>68</v>
      </c>
      <c r="N1001" s="477">
        <v>46202</v>
      </c>
      <c r="O1001" s="476" t="s">
        <v>5331</v>
      </c>
      <c r="P1001" s="476" t="s">
        <v>5550</v>
      </c>
      <c r="Q1001" s="476" t="s">
        <v>5551</v>
      </c>
      <c r="R1001" s="476" t="str">
        <f>_xlfn.XLOOKUP(PV_DATA[[#This Row],[New Ark SKU]],Table9[New Ark SKU],Table9[Connector],,0)</f>
        <v>EVO2A</v>
      </c>
      <c r="S1001" s="484" t="str">
        <f>_xlfn.XLOOKUP(PV_DATA[[#This Row],[New Ark SKU]],Table9[New Ark SKU],Table9[Cable],,0)</f>
        <v>±1400mm</v>
      </c>
      <c r="T1001" s="484">
        <v>585</v>
      </c>
      <c r="U1001" s="1221">
        <f>720*2</f>
        <v>1440</v>
      </c>
      <c r="V1001" s="1058">
        <f>PV_DATA[[#This Row],[QUANTITY]]*PV_DATA[[#This Row],[WATT]]/1000000</f>
        <v>0.84240000000000004</v>
      </c>
      <c r="W1001" s="1071">
        <f>PV_DATA[[#This Row],[QUANTITY]]/PV_DATA[[#This Row],[Qty/Pallet]]</f>
        <v>40</v>
      </c>
      <c r="X1001" s="1120">
        <f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1">
        <v>46206</v>
      </c>
      <c r="AB1001" s="1016">
        <v>46261</v>
      </c>
      <c r="AC1001" s="1062">
        <f>IF(PV_DATA[[#This Row],[Pick-Up Date]]&lt;&gt;"",_xlfn.ISOWEEKNUM(PV_DATA[[#This Row],[Pick-Up Date]]),"")</f>
        <v>35</v>
      </c>
      <c r="AD1001" s="476" t="s">
        <v>6534</v>
      </c>
      <c r="AF1001" s="476" t="s">
        <v>122</v>
      </c>
      <c r="AG1001" s="476" t="s">
        <v>123</v>
      </c>
      <c r="AH1001" s="476" t="s">
        <v>124</v>
      </c>
      <c r="AI1001" s="1031">
        <v>46268</v>
      </c>
      <c r="AJ1001" s="1016"/>
      <c r="AK1001" s="1016">
        <f>IFERROR(IF(VLOOKUP(AT1001,Vessel!A:F,5,FALSE)=0,"",VLOOKUP(AT1001,Vessel!A:F,5,FALSE)),"")</f>
        <v>46270.941423611112</v>
      </c>
      <c r="AL1001" s="1016">
        <v>46303</v>
      </c>
      <c r="AM1001" s="1016"/>
      <c r="AN1001" s="1063" t="str">
        <f>IFERROR(IF(VLOOKUP(AT1001,Vessel!A:I,9,FALSE)=0,"",VLOOKUP(AT1001,Vessel!A:I,9,FALSE)),"")</f>
        <v/>
      </c>
      <c r="AP1001" s="476" t="s">
        <v>6535</v>
      </c>
      <c r="AQ1001" s="1064" t="s">
        <v>80</v>
      </c>
      <c r="AR1001" s="476" t="s">
        <v>6536</v>
      </c>
      <c r="AS1001" s="476" t="s">
        <v>6537</v>
      </c>
      <c r="AT1001" s="476" t="s">
        <v>6537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1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16">
        <f>IF(ISERROR(PV_DATA[[#This Row],[New Ark PO status]]),"",_xlfn.XLOOKUP(PV_DATA[[#This Row],[SPTN-PVHK New Ark PO'#]],New_Ark_Data[Purchase order Number],New_Ark_Data[Estimated time of arrival],"",0))</f>
        <v>46311</v>
      </c>
      <c r="AZ1001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16">
        <f>IFERROR(PV_DATA[[#This Row],[ODP ETA Port]]+PV_DATA[[#This Row],[Customs/Leg3 Assumption]],"n/a")</f>
        <v>46312</v>
      </c>
      <c r="BB1001" s="484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65" t="str">
        <f>_xlfn.XLOOKUP(PV_DATA[[#This Row],[PORT DESTINATION]],Table12[PORT DESTINATION],Table12[Cosco Line],,0)</f>
        <v>AEM</v>
      </c>
    </row>
    <row r="1002" spans="1:60" s="476" customFormat="1" ht="10.5" hidden="1">
      <c r="A1002" s="1077" t="s">
        <v>6538</v>
      </c>
      <c r="B1002" s="723" t="s">
        <v>111</v>
      </c>
      <c r="C1002" s="723" t="str">
        <f>IFERROR(LEFT(PV_DATA[[#This Row],[TCL REFERENCE]],FIND(".",PV_DATA[[#This Row],[TCL REFERENCE]],1)-1),"Main Line")</f>
        <v>26Aug009</v>
      </c>
      <c r="D1002" s="723" t="s">
        <v>113</v>
      </c>
      <c r="E1002" s="723" t="s">
        <v>144</v>
      </c>
      <c r="F1002" s="723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3" t="s">
        <v>402</v>
      </c>
      <c r="H1002" s="723" t="s">
        <v>670</v>
      </c>
      <c r="I1002" s="723" t="s">
        <v>6206</v>
      </c>
      <c r="J1002" s="723" t="s">
        <v>670</v>
      </c>
      <c r="K1002" s="476" t="s">
        <v>6238</v>
      </c>
      <c r="L1002" s="476">
        <v>1</v>
      </c>
      <c r="M1002" s="476" t="s">
        <v>4962</v>
      </c>
      <c r="N1002" s="477"/>
      <c r="O1002" s="476" t="s">
        <v>4526</v>
      </c>
      <c r="P1002" s="476" t="s">
        <v>6466</v>
      </c>
      <c r="Q1002" s="476" t="s">
        <v>103</v>
      </c>
      <c r="R1002" s="476" t="str">
        <f>_xlfn.XLOOKUP(PV_DATA[[#This Row],[New Ark SKU]],Table9[New Ark SKU],Table9[Connector],,0)</f>
        <v>H4(Com)</v>
      </c>
      <c r="S1002" s="484" t="str">
        <f>_xlfn.XLOOKUP(PV_DATA[[#This Row],[New Ark SKU]],Table9[New Ark SKU],Table9[Cable],,0)</f>
        <v>+400mm/-200mm</v>
      </c>
      <c r="T1002" s="484">
        <v>620</v>
      </c>
      <c r="U1002" s="1213">
        <v>720</v>
      </c>
      <c r="V1002" s="1058">
        <f>PV_DATA[[#This Row],[QUANTITY]]*PV_DATA[[#This Row],[WATT]]/1000000</f>
        <v>0.44640000000000002</v>
      </c>
      <c r="W1002" s="1071">
        <f>PV_DATA[[#This Row],[QUANTITY]]/PV_DATA[[#This Row],[Qty/Pallet]]</f>
        <v>20</v>
      </c>
      <c r="X1002" s="1120">
        <f>PV_DATA[[#This Row],[QUANTITY]]/720</f>
        <v>1</v>
      </c>
      <c r="Y1002" s="1060" t="s">
        <v>6233</v>
      </c>
      <c r="Z1002" s="476" t="str">
        <f t="shared" si="17"/>
        <v/>
      </c>
      <c r="AA1002" s="1061">
        <v>46251</v>
      </c>
      <c r="AB1002" s="1016">
        <v>46269</v>
      </c>
      <c r="AC1002" s="1062">
        <f>IF(PV_DATA[[#This Row],[Pick-Up Date]]&lt;&gt;"",_xlfn.ISOWEEKNUM(PV_DATA[[#This Row],[Pick-Up Date]]),"")</f>
        <v>36</v>
      </c>
      <c r="AD1002" s="476" t="s">
        <v>6539</v>
      </c>
      <c r="AF1002" s="476" t="s">
        <v>122</v>
      </c>
      <c r="AG1002" s="476" t="s">
        <v>122</v>
      </c>
      <c r="AH1002" s="476" t="s">
        <v>105</v>
      </c>
      <c r="AI1002" s="1016">
        <v>46271</v>
      </c>
      <c r="AJ1002" s="1016">
        <v>46282</v>
      </c>
      <c r="AK1002" s="1016"/>
      <c r="AL1002" s="1016">
        <v>46312</v>
      </c>
      <c r="AM1002" s="1016"/>
      <c r="AN1002" s="1063"/>
      <c r="AP1002" s="476" t="s">
        <v>6540</v>
      </c>
      <c r="AQ1002" s="1064" t="s">
        <v>161</v>
      </c>
      <c r="AR1002" s="1067" t="s">
        <v>6541</v>
      </c>
      <c r="AS1002" s="476" t="s">
        <v>6542</v>
      </c>
      <c r="AT1002" s="476" t="s">
        <v>6542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002" s="101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16" t="str">
        <f>IF(ISERROR(PV_DATA[[#This Row],[New Ark PO status]]),"",_xlfn.XLOOKUP(PV_DATA[[#This Row],[SPTN-PVHK New Ark PO'#]],New_Ark_Data[Purchase order Number],New_Ark_Data[Estimated time of arrival],"",0))</f>
        <v/>
      </c>
      <c r="AZ1002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16">
        <f>IFERROR(PV_DATA[[#This Row],[ODP ETA Port]]+PV_DATA[[#This Row],[Customs/Leg3 Assumption]],"n/a")</f>
        <v>46312</v>
      </c>
      <c r="BB1002" s="484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 hidden="1">
      <c r="A1003" s="1077" t="s">
        <v>6543</v>
      </c>
      <c r="B1003" s="1066" t="s">
        <v>111</v>
      </c>
      <c r="C1003" s="723" t="str">
        <f>IFERROR(LEFT(PV_DATA[[#This Row],[TCL REFERENCE]],FIND(".",PV_DATA[[#This Row],[TCL REFERENCE]],1)-1),"Main Line")</f>
        <v>26Aug025</v>
      </c>
      <c r="D1003" s="1066" t="s">
        <v>113</v>
      </c>
      <c r="E1003" s="723" t="s">
        <v>144</v>
      </c>
      <c r="F1003" s="106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3" t="s">
        <v>402</v>
      </c>
      <c r="H1003" s="723" t="s">
        <v>670</v>
      </c>
      <c r="I1003" s="723" t="s">
        <v>6206</v>
      </c>
      <c r="J1003" s="723" t="s">
        <v>670</v>
      </c>
      <c r="K1003" s="476" t="s">
        <v>5887</v>
      </c>
      <c r="L1003" s="1067">
        <v>17</v>
      </c>
      <c r="M1003" s="476" t="s">
        <v>4962</v>
      </c>
      <c r="N1003" s="1068"/>
      <c r="O1003" s="1067" t="s">
        <v>4526</v>
      </c>
      <c r="P1003" s="1067" t="s">
        <v>6444</v>
      </c>
      <c r="Q1003" s="1067" t="s">
        <v>4593</v>
      </c>
      <c r="R1003" s="1067" t="str">
        <f>_xlfn.XLOOKUP(PV_DATA[[#This Row],[New Ark SKU]],Table9[New Ark SKU],Table9[Connector],,0)</f>
        <v>H4(Com)</v>
      </c>
      <c r="S1003" s="1069" t="str">
        <f>_xlfn.XLOOKUP(PV_DATA[[#This Row],[New Ark SKU]],Table9[New Ark SKU],Table9[Cable],,0)</f>
        <v>+400mm/-200mm</v>
      </c>
      <c r="T1003" s="1069">
        <v>630</v>
      </c>
      <c r="U1003" s="1220">
        <v>2880</v>
      </c>
      <c r="V1003" s="1070">
        <f>PV_DATA[[#This Row],[QUANTITY]]*PV_DATA[[#This Row],[WATT]]/1000000</f>
        <v>1.8144</v>
      </c>
      <c r="W1003" s="1071">
        <f>PV_DATA[[#This Row],[QUANTITY]]/36</f>
        <v>80</v>
      </c>
      <c r="X1003" s="1203">
        <f>PV_DATA[[#This Row],[QUANTITY]]/PV_DATA[[#This Row],[Qty/CT]]</f>
        <v>4</v>
      </c>
      <c r="Y1003" s="476" t="s">
        <v>6208</v>
      </c>
      <c r="Z1003" s="476" t="str">
        <f t="shared" si="17"/>
        <v/>
      </c>
      <c r="AA1003" s="1075">
        <v>46261</v>
      </c>
      <c r="AB1003" s="1072">
        <v>46269</v>
      </c>
      <c r="AC1003" s="1073">
        <f>IF(PV_DATA[[#This Row],[Pick-Up Date]]&lt;&gt;"",_xlfn.ISOWEEKNUM(PV_DATA[[#This Row],[Pick-Up Date]]),"")</f>
        <v>36</v>
      </c>
      <c r="AD1003" s="1067" t="s">
        <v>6544</v>
      </c>
      <c r="AE1003" s="1067"/>
      <c r="AF1003" s="1067" t="s">
        <v>122</v>
      </c>
      <c r="AG1003" s="1067" t="s">
        <v>122</v>
      </c>
      <c r="AH1003" s="476" t="s">
        <v>105</v>
      </c>
      <c r="AI1003" s="1072">
        <v>46271</v>
      </c>
      <c r="AJ1003" s="1016">
        <v>46282</v>
      </c>
      <c r="AK1003" s="1016"/>
      <c r="AL1003" s="1072">
        <v>46312</v>
      </c>
      <c r="AM1003" s="1072"/>
      <c r="AN1003" s="1063"/>
      <c r="AO1003" s="1067"/>
      <c r="AP1003" s="1067" t="s">
        <v>6540</v>
      </c>
      <c r="AQ1003" s="1078" t="s">
        <v>161</v>
      </c>
      <c r="AR1003" s="1067" t="s">
        <v>6541</v>
      </c>
      <c r="AS1003" s="1067" t="s">
        <v>6542</v>
      </c>
      <c r="AT1003" s="476" t="s">
        <v>6542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1003" s="1067"/>
      <c r="AW1003" s="1072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72" t="str">
        <f>IF(ISERROR(PV_DATA[[#This Row],[New Ark PO status]]),"",_xlfn.XLOOKUP(PV_DATA[[#This Row],[SPTN-PVHK New Ark PO'#]],New_Ark_Data[Purchase order Number],New_Ark_Data[Estimated time of arrival],"",0))</f>
        <v/>
      </c>
      <c r="AZ1003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72">
        <f>IFERROR(PV_DATA[[#This Row],[ODP ETA Port]]+PV_DATA[[#This Row],[Customs/Leg3 Assumption]],"n/a")</f>
        <v>46312</v>
      </c>
      <c r="BB1003" s="1069">
        <f>YEAR(PV_DATA[[#This Row],[ETA for New Ark update]])</f>
        <v>2026</v>
      </c>
      <c r="BC1003" s="1067">
        <f>MONTH(PV_DATA[[#This Row],[ETA for New Ark update]])</f>
        <v>10</v>
      </c>
      <c r="BD1003" s="1067">
        <f>IFERROR(_xlfn.ISOWEEKNUM(PV_DATA[[#This Row],[ETA for New Ark update]]),0)</f>
        <v>42</v>
      </c>
      <c r="BE1003" s="1067">
        <f>_xlfn.XLOOKUP(PV_DATA[[#This Row],[New Ark SKU]],Table9[New Ark SKU],Table9[Total PCS per Pallet],,0)</f>
        <v>36</v>
      </c>
      <c r="BF1003" s="1067">
        <f>_xlfn.XLOOKUP(PV_DATA[[#This Row],[New Ark SKU]],Table9[New Ark SKU],Table9[Total PCS per 40HQ Container],,0)</f>
        <v>720</v>
      </c>
      <c r="BG1003" s="1067" t="str">
        <f>_xlfn.XLOOKUP(PV_DATA[[#This Row],[New Ark SKU]],Table9[New Ark SKU],Table9[Back Glass],,0)</f>
        <v>Redirection Film</v>
      </c>
      <c r="BH1003" s="1074" t="str">
        <f>_xlfn.XLOOKUP(PV_DATA[[#This Row],[PORT DESTINATION]],Table12[PORT DESTINATION],Table12[Cosco Line],,0)</f>
        <v>AEU</v>
      </c>
    </row>
    <row r="1004" spans="1:60" s="476" customFormat="1" ht="10.5" hidden="1">
      <c r="A1004" s="1363" t="s">
        <v>6545</v>
      </c>
      <c r="B1004" s="1066" t="s">
        <v>1757</v>
      </c>
      <c r="C1004" s="723" t="str">
        <f>IFERROR(LEFT(PV_DATA[[#This Row],[TCL REFERENCE]],FIND(".",PV_DATA[[#This Row],[TCL REFERENCE]],1)-1),"Main Line")</f>
        <v>26Jul017</v>
      </c>
      <c r="D1004" s="1066" t="s">
        <v>63</v>
      </c>
      <c r="E1004" s="723" t="s">
        <v>64</v>
      </c>
      <c r="F1004" s="106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3" t="s">
        <v>402</v>
      </c>
      <c r="H1004" s="723" t="s">
        <v>451</v>
      </c>
      <c r="I1004" s="723" t="s">
        <v>882</v>
      </c>
      <c r="J1004" s="476" t="s">
        <v>6191</v>
      </c>
      <c r="L1004" s="1067"/>
      <c r="M1004" s="476" t="s">
        <v>68</v>
      </c>
      <c r="N1004" s="1068" t="s">
        <v>6174</v>
      </c>
      <c r="O1004" s="1067" t="s">
        <v>284</v>
      </c>
      <c r="P1004" s="1067" t="s">
        <v>5846</v>
      </c>
      <c r="Q1004" s="1067" t="s">
        <v>5847</v>
      </c>
      <c r="R1004" s="1067" t="str">
        <f>_xlfn.XLOOKUP(PV_DATA[[#This Row],[New Ark SKU]],Table9[New Ark SKU],Table9[Connector],,0)</f>
        <v>EVO2A</v>
      </c>
      <c r="S1004" s="1069" t="str">
        <f>_xlfn.XLOOKUP(PV_DATA[[#This Row],[New Ark SKU]],Table9[New Ark SKU],Table9[Cable],,0)</f>
        <v>±1200mm</v>
      </c>
      <c r="T1004" s="1069">
        <v>485</v>
      </c>
      <c r="U1004" s="1220">
        <v>936</v>
      </c>
      <c r="V1004" s="1070">
        <f>PV_DATA[[#This Row],[QUANTITY]]*PV_DATA[[#This Row],[WATT]]/1000000</f>
        <v>0.45395999999999997</v>
      </c>
      <c r="W1004" s="1071">
        <f>PV_DATA[[#This Row],[QUANTITY]]/36</f>
        <v>26</v>
      </c>
      <c r="X1004" s="1203">
        <f>PV_DATA[[#This Row],[QUANTITY]]/PV_DATA[[#This Row],[Qty/CT]]</f>
        <v>1</v>
      </c>
      <c r="Y1004" s="476" t="s">
        <v>2464</v>
      </c>
      <c r="Z1004" s="476" t="str">
        <f t="shared" si="17"/>
        <v>IN-TRANSIT</v>
      </c>
      <c r="AA1004" s="1075">
        <v>46257</v>
      </c>
      <c r="AB1004" s="922">
        <v>46268</v>
      </c>
      <c r="AC1004" s="1073">
        <f>IF(PV_DATA[[#This Row],[Pick-Up Date]]&lt;&gt;"",_xlfn.ISOWEEKNUM(PV_DATA[[#This Row],[Pick-Up Date]]),"")</f>
        <v>36</v>
      </c>
      <c r="AD1004" s="1067" t="s">
        <v>6546</v>
      </c>
      <c r="AE1004" s="1067"/>
      <c r="AF1004" s="1067" t="s">
        <v>1525</v>
      </c>
      <c r="AG1004" s="1067" t="s">
        <v>5992</v>
      </c>
      <c r="AH1004" s="476" t="s">
        <v>456</v>
      </c>
      <c r="AI1004" s="1072">
        <v>46267</v>
      </c>
      <c r="AJ1004" s="1016">
        <f>IFERROR(VLOOKUP(AT1004, Vessel!A:D, 4, FALSE), "")</f>
        <v>46273.645833333336</v>
      </c>
      <c r="AK1004" s="1016">
        <f>IFERROR(IF(VLOOKUP(AT1004,Vessel!A:F,5,FALSE)=0,"",VLOOKUP(AT1004,Vessel!A:F,5,FALSE)),"")</f>
        <v>46273.670289351852</v>
      </c>
      <c r="AL1004" s="1072">
        <v>46337</v>
      </c>
      <c r="AM1004" s="1016"/>
      <c r="AN1004" s="1063" t="str">
        <f>IFERROR(IF(VLOOKUP(AT1004,Vessel!A:I,9,FALSE)=0,"",VLOOKUP(AT1004,Vessel!A:I,9,FALSE)),"")</f>
        <v/>
      </c>
      <c r="AO1004" s="1067"/>
      <c r="AP1004" s="1067" t="s">
        <v>6423</v>
      </c>
      <c r="AQ1004" s="1067" t="s">
        <v>80</v>
      </c>
      <c r="AR1004" s="1067" t="s">
        <v>6547</v>
      </c>
      <c r="AS1004" s="1067" t="s">
        <v>6548</v>
      </c>
      <c r="AT1004" s="476" t="s">
        <v>6548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V1004" s="1067"/>
      <c r="AW1004" s="1072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2" t="str">
        <f>IF(ISERROR(PV_DATA[[#This Row],[New Ark PO status]]),"",_xlfn.XLOOKUP(PV_DATA[[#This Row],[SPTN-PVHK New Ark PO'#]],New_Ark_Data[Purchase order Number],New_Ark_Data[Estimated time of arrival],"",0))</f>
        <v/>
      </c>
      <c r="AZ1004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72">
        <f>IFERROR(PV_DATA[[#This Row],[ODP ETA Port]]+PV_DATA[[#This Row],[Customs/Leg3 Assumption]],"n/a")</f>
        <v>46344</v>
      </c>
      <c r="BB1004" s="1069">
        <f>YEAR(PV_DATA[[#This Row],[ETA for New Ark update]])</f>
        <v>2026</v>
      </c>
      <c r="BC1004" s="1067">
        <f>MONTH(PV_DATA[[#This Row],[ETA for New Ark update]])</f>
        <v>11</v>
      </c>
      <c r="BD1004" s="1067">
        <f>IFERROR(_xlfn.ISOWEEKNUM(PV_DATA[[#This Row],[ETA for New Ark update]]),0)</f>
        <v>47</v>
      </c>
      <c r="BE1004" s="1067">
        <f>_xlfn.XLOOKUP(PV_DATA[[#This Row],[New Ark SKU]],Table9[New Ark SKU],Table9[Total PCS per Pallet],,0)</f>
        <v>36</v>
      </c>
      <c r="BF1004" s="1067">
        <f>_xlfn.XLOOKUP(PV_DATA[[#This Row],[New Ark SKU]],Table9[New Ark SKU],Table9[Total PCS per 40HQ Container],,0)</f>
        <v>936</v>
      </c>
      <c r="BG1004" s="1067" t="str">
        <f>_xlfn.XLOOKUP(PV_DATA[[#This Row],[New Ark SKU]],Table9[New Ark SKU],Table9[Back Glass],,0)</f>
        <v>Black glazing</v>
      </c>
      <c r="BH1004" s="1074" t="str">
        <f>_xlfn.XLOOKUP(PV_DATA[[#This Row],[PORT DESTINATION]],Table12[PORT DESTINATION],Table12[Cosco Line],,0)</f>
        <v>AEU</v>
      </c>
    </row>
    <row r="1005" spans="1:60" s="476" customFormat="1" ht="10.5" hidden="1">
      <c r="A1005" s="723" t="s">
        <v>6549</v>
      </c>
      <c r="B1005" s="723" t="s">
        <v>1757</v>
      </c>
      <c r="C1005" s="723" t="str">
        <f>IFERROR(LEFT(PV_DATA[[#This Row],[TCL REFERENCE]],FIND(".",PV_DATA[[#This Row],[TCL REFERENCE]],1)-1),"Main Line")</f>
        <v>26Aug007</v>
      </c>
      <c r="D1005" s="723" t="s">
        <v>63</v>
      </c>
      <c r="E1005" s="723" t="s">
        <v>144</v>
      </c>
      <c r="F1005" s="72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3" t="s">
        <v>402</v>
      </c>
      <c r="H1005" s="723" t="s">
        <v>6172</v>
      </c>
      <c r="I1005" s="723" t="s">
        <v>689</v>
      </c>
      <c r="J1005" s="476" t="s">
        <v>6172</v>
      </c>
      <c r="K1005" s="476" t="s">
        <v>6196</v>
      </c>
      <c r="L1005" s="476">
        <v>5</v>
      </c>
      <c r="M1005" s="476" t="s">
        <v>840</v>
      </c>
      <c r="N1005" s="477" t="s">
        <v>6174</v>
      </c>
      <c r="O1005" s="476" t="s">
        <v>284</v>
      </c>
      <c r="P1005" s="476" t="s">
        <v>5846</v>
      </c>
      <c r="Q1005" s="476" t="s">
        <v>5847</v>
      </c>
      <c r="R1005" s="476" t="str">
        <f>_xlfn.XLOOKUP(PV_DATA[[#This Row],[New Ark SKU]],Table9[New Ark SKU],Table9[Connector],,0)</f>
        <v>EVO2A</v>
      </c>
      <c r="S1005" s="484" t="str">
        <f>_xlfn.XLOOKUP(PV_DATA[[#This Row],[New Ark SKU]],Table9[New Ark SKU],Table9[Cable],,0)</f>
        <v>±1200mm</v>
      </c>
      <c r="T1005" s="484">
        <v>485</v>
      </c>
      <c r="U1005" s="1213">
        <v>936</v>
      </c>
      <c r="V1005" s="1058">
        <f>PV_DATA[[#This Row],[QUANTITY]]*PV_DATA[[#This Row],[WATT]]/1000000</f>
        <v>0.45395999999999997</v>
      </c>
      <c r="W1005" s="1071">
        <f>PV_DATA[[#This Row],[QUANTITY]]/36</f>
        <v>26</v>
      </c>
      <c r="X1005" s="1120">
        <f>PV_DATA[[#This Row],[QUANTITY]]/PV_DATA[[#This Row],[Qty/CT]]</f>
        <v>1</v>
      </c>
      <c r="Y1005" s="476" t="s">
        <v>2465</v>
      </c>
      <c r="Z1005" s="476" t="str">
        <f t="shared" si="17"/>
        <v>IN-TRANSIT</v>
      </c>
      <c r="AA1005" s="1061">
        <v>46255</v>
      </c>
      <c r="AB1005" s="922">
        <v>46268</v>
      </c>
      <c r="AC1005" s="1062">
        <f>IF(PV_DATA[[#This Row],[Pick-Up Date]]&lt;&gt;"",_xlfn.ISOWEEKNUM(PV_DATA[[#This Row],[Pick-Up Date]]),"")</f>
        <v>36</v>
      </c>
      <c r="AD1005" s="476" t="s">
        <v>6550</v>
      </c>
      <c r="AF1005" s="476" t="s">
        <v>1525</v>
      </c>
      <c r="AG1005" s="476" t="s">
        <v>5992</v>
      </c>
      <c r="AH1005" s="476" t="s">
        <v>456</v>
      </c>
      <c r="AI1005" s="1016">
        <v>46267</v>
      </c>
      <c r="AJ1005" s="1016">
        <f>IFERROR(VLOOKUP(AT1005, Vessel!A:D, 4, FALSE), "")</f>
        <v>46273.645833333336</v>
      </c>
      <c r="AK1005" s="1016">
        <f>IFERROR(IF(VLOOKUP(AT1005,Vessel!A:F,5,FALSE)=0,"",VLOOKUP(AT1005,Vessel!A:F,5,FALSE)),"")</f>
        <v>46273.670289351852</v>
      </c>
      <c r="AL1005" s="1016">
        <v>46337</v>
      </c>
      <c r="AM1005" s="1016"/>
      <c r="AN1005" s="1063" t="str">
        <f>IFERROR(IF(VLOOKUP(AT1005,Vessel!A:I,9,FALSE)=0,"",VLOOKUP(AT1005,Vessel!A:I,9,FALSE)),"")</f>
        <v/>
      </c>
      <c r="AP1005" s="476" t="s">
        <v>6423</v>
      </c>
      <c r="AQ1005" s="476" t="s">
        <v>80</v>
      </c>
      <c r="AR1005" s="476" t="s">
        <v>6551</v>
      </c>
      <c r="AS1005" s="476" t="s">
        <v>6552</v>
      </c>
      <c r="AT1005" s="476" t="s">
        <v>6552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W1005" s="1016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16" t="str">
        <f>IF(ISERROR(PV_DATA[[#This Row],[New Ark PO status]]),"",_xlfn.XLOOKUP(PV_DATA[[#This Row],[SPTN-PVHK New Ark PO'#]],New_Ark_Data[Purchase order Number],New_Ark_Data[Estimated time of arrival],"",0))</f>
        <v/>
      </c>
      <c r="AZ100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16">
        <f>IFERROR(PV_DATA[[#This Row],[ODP ETA Port]]+PV_DATA[[#This Row],[Customs/Leg3 Assumption]],"n/a")</f>
        <v>46337</v>
      </c>
      <c r="BB1005" s="484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8" customFormat="1" ht="10.5" hidden="1">
      <c r="A1006" s="1171" t="s">
        <v>6553</v>
      </c>
      <c r="B1006" s="937" t="s">
        <v>1757</v>
      </c>
      <c r="C1006" s="937" t="str">
        <f>IFERROR(LEFT(PV_DATA[[#This Row],[TCL REFERENCE]],FIND(".",PV_DATA[[#This Row],[TCL REFERENCE]],1)-1),"Main Line")</f>
        <v>26Aug007</v>
      </c>
      <c r="D1006" s="937" t="s">
        <v>63</v>
      </c>
      <c r="E1006" s="937" t="s">
        <v>64</v>
      </c>
      <c r="F1006" s="117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37" t="s">
        <v>402</v>
      </c>
      <c r="H1006" s="937" t="s">
        <v>67</v>
      </c>
      <c r="I1006" s="937" t="s">
        <v>1395</v>
      </c>
      <c r="J1006" s="478" t="s">
        <v>96</v>
      </c>
      <c r="M1006" s="478" t="s">
        <v>68</v>
      </c>
      <c r="N1006" s="938" t="s">
        <v>6174</v>
      </c>
      <c r="O1006" s="478" t="s">
        <v>284</v>
      </c>
      <c r="P1006" s="478" t="s">
        <v>5846</v>
      </c>
      <c r="Q1006" s="478" t="s">
        <v>5847</v>
      </c>
      <c r="R1006" s="478" t="str">
        <f>_xlfn.XLOOKUP(PV_DATA[[#This Row],[New Ark SKU]],Table9[New Ark SKU],Table9[Connector],,0)</f>
        <v>EVO2A</v>
      </c>
      <c r="S1006" s="939" t="str">
        <f>_xlfn.XLOOKUP(PV_DATA[[#This Row],[New Ark SKU]],Table9[New Ark SKU],Table9[Cable],,0)</f>
        <v>±1200mm</v>
      </c>
      <c r="T1006" s="939">
        <v>485</v>
      </c>
      <c r="U1006" s="1222">
        <f>936*5</f>
        <v>4680</v>
      </c>
      <c r="V1006" s="1173">
        <f>PV_DATA[[#This Row],[QUANTITY]]*PV_DATA[[#This Row],[WATT]]/1000000</f>
        <v>2.2698</v>
      </c>
      <c r="W1006" s="1174">
        <f>PV_DATA[[#This Row],[QUANTITY]]/36</f>
        <v>130</v>
      </c>
      <c r="X1006" s="1117">
        <f>PV_DATA[[#This Row],[QUANTITY]]/PV_DATA[[#This Row],[Qty/CT]]</f>
        <v>5</v>
      </c>
      <c r="Y1006" s="478" t="s">
        <v>2464</v>
      </c>
      <c r="Z1006" s="478" t="str">
        <f>IF(AN1006&lt;&gt;"","COMPLETED",IF(AK1006&lt;&gt;"","IN-TRANSIT",""))</f>
        <v>IN-TRANSIT</v>
      </c>
      <c r="AA1006" s="1175">
        <v>46256</v>
      </c>
      <c r="AB1006" s="1176">
        <v>46268</v>
      </c>
      <c r="AC1006" s="945">
        <f>IF(PV_DATA[[#This Row],[Pick-Up Date]]&lt;&gt;"",_xlfn.ISOWEEKNUM(PV_DATA[[#This Row],[Pick-Up Date]]),"")</f>
        <v>36</v>
      </c>
      <c r="AD1006" s="478" t="s">
        <v>6554</v>
      </c>
      <c r="AF1006" s="478" t="s">
        <v>1525</v>
      </c>
      <c r="AG1006" s="478" t="s">
        <v>5992</v>
      </c>
      <c r="AH1006" s="478" t="s">
        <v>105</v>
      </c>
      <c r="AI1006" s="944">
        <v>46266</v>
      </c>
      <c r="AJ1006" s="944">
        <f>IFERROR(VLOOKUP(AT1006, Vessel!A:D, 4, FALSE), "")</f>
        <v>46272.625</v>
      </c>
      <c r="AK1006" s="944">
        <f>IFERROR(IF(VLOOKUP(AT1006,Vessel!A:F,5,FALSE)=0,"",VLOOKUP(AT1006,Vessel!A:F,5,FALSE)),"")</f>
        <v>46272.645995370367</v>
      </c>
      <c r="AL1006" s="944">
        <v>46305</v>
      </c>
      <c r="AM1006" s="946">
        <f>IFERROR(VLOOKUP(AT1006, Vessel!A:H, 8, FALSE), "")</f>
        <v>46309.333333333336</v>
      </c>
      <c r="AN1006" s="946" t="str">
        <f>IFERROR(IF(VLOOKUP(AT1006,Vessel!A:I,9,FALSE)=0,"",VLOOKUP(AT1006,Vessel!A:I,9,FALSE)),"")</f>
        <v/>
      </c>
      <c r="AP1006" s="478" t="s">
        <v>6335</v>
      </c>
      <c r="AQ1006" s="478" t="s">
        <v>80</v>
      </c>
      <c r="AR1006" s="478" t="s">
        <v>6555</v>
      </c>
      <c r="AS1006" s="478" t="s">
        <v>6556</v>
      </c>
      <c r="AT1006" s="478" t="s">
        <v>6556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36.687337962968741</v>
      </c>
      <c r="AW1006" s="944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100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44" t="str">
        <f>IF(ISERROR(PV_DATA[[#This Row],[New Ark PO status]]),"",_xlfn.XLOOKUP(PV_DATA[[#This Row],[SPTN-PVHK New Ark PO'#]],New_Ark_Data[Purchase order Number],New_Ark_Data[Estimated time of arrival],"",0))</f>
        <v/>
      </c>
      <c r="AZ100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44">
        <f>IFERROR(PV_DATA[[#This Row],[ODP ETA Port]]+PV_DATA[[#This Row],[Customs/Leg3 Assumption]],"n/a")</f>
        <v>46316.333333333336</v>
      </c>
      <c r="BB1006" s="939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43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8" t="str">
        <f>_xlfn.XLOOKUP(PV_DATA[[#This Row],[PORT DESTINATION]],Table12[PORT DESTINATION],Table12[Cosco Line],,0)</f>
        <v>AEU</v>
      </c>
    </row>
    <row r="1007" spans="1:60" s="478" customFormat="1" ht="11.15" hidden="1" customHeight="1">
      <c r="A1007" s="937" t="s">
        <v>6557</v>
      </c>
      <c r="B1007" s="937" t="s">
        <v>1757</v>
      </c>
      <c r="C1007" s="937" t="str">
        <f>IFERROR(LEFT(PV_DATA[[#This Row],[TCL REFERENCE]],FIND(".",PV_DATA[[#This Row],[TCL REFERENCE]],1)-1),"Main Line")</f>
        <v>26Aug007</v>
      </c>
      <c r="D1007" s="937" t="s">
        <v>63</v>
      </c>
      <c r="E1007" s="937" t="s">
        <v>144</v>
      </c>
      <c r="F1007" s="117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72" t="s">
        <v>402</v>
      </c>
      <c r="H1007" s="937" t="s">
        <v>6172</v>
      </c>
      <c r="I1007" s="937" t="s">
        <v>689</v>
      </c>
      <c r="J1007" s="478" t="s">
        <v>6172</v>
      </c>
      <c r="K1007" s="478" t="s">
        <v>6196</v>
      </c>
      <c r="L1007" s="478">
        <v>8</v>
      </c>
      <c r="M1007" s="478" t="s">
        <v>840</v>
      </c>
      <c r="N1007" s="938" t="s">
        <v>6174</v>
      </c>
      <c r="O1007" s="478" t="s">
        <v>284</v>
      </c>
      <c r="P1007" s="478" t="s">
        <v>5846</v>
      </c>
      <c r="Q1007" s="478" t="s">
        <v>5847</v>
      </c>
      <c r="R1007" s="478" t="str">
        <f>_xlfn.XLOOKUP(PV_DATA[[#This Row],[New Ark SKU]],Table9[New Ark SKU],Table9[Connector],,0)</f>
        <v>EVO2A</v>
      </c>
      <c r="S1007" s="939" t="str">
        <f>_xlfn.XLOOKUP(PV_DATA[[#This Row],[New Ark SKU]],Table9[New Ark SKU],Table9[Cable],,0)</f>
        <v>±1200mm</v>
      </c>
      <c r="T1007" s="939">
        <v>485</v>
      </c>
      <c r="U1007" s="1222">
        <v>1872</v>
      </c>
      <c r="V1007" s="940">
        <f>PV_DATA[[#This Row],[QUANTITY]]*PV_DATA[[#This Row],[WATT]]/1000000</f>
        <v>0.90791999999999995</v>
      </c>
      <c r="W1007" s="1178">
        <f>PV_DATA[[#This Row],[QUANTITY]]/36</f>
        <v>52</v>
      </c>
      <c r="X1007" s="1117">
        <f>PV_DATA[[#This Row],[QUANTITY]]/PV_DATA[[#This Row],[Qty/CT]]</f>
        <v>2</v>
      </c>
      <c r="Y1007" s="478" t="s">
        <v>2465</v>
      </c>
      <c r="Z1007" s="478" t="str">
        <f>IF(AN1007&lt;&gt;"","COMPLETED",IF(AK1007&lt;&gt;"","IN-TRANSIT",""))</f>
        <v/>
      </c>
      <c r="AA1007" s="1175">
        <v>46255</v>
      </c>
      <c r="AB1007" s="944">
        <v>46265</v>
      </c>
      <c r="AC1007" s="945">
        <f>IF(PV_DATA[[#This Row],[Pick-Up Date]]&lt;&gt;"",_xlfn.ISOWEEKNUM(PV_DATA[[#This Row],[Pick-Up Date]]),"")</f>
        <v>36</v>
      </c>
      <c r="AD1007" s="478" t="s">
        <v>6558</v>
      </c>
      <c r="AF1007" s="478" t="s">
        <v>1525</v>
      </c>
      <c r="AG1007" s="478" t="s">
        <v>5992</v>
      </c>
      <c r="AH1007" s="478" t="s">
        <v>456</v>
      </c>
      <c r="AI1007" s="944">
        <v>46267</v>
      </c>
      <c r="AJ1007" s="944">
        <v>46273</v>
      </c>
      <c r="AK1007" s="944"/>
      <c r="AL1007" s="1272">
        <v>46309</v>
      </c>
      <c r="AM1007" s="1272">
        <v>46311</v>
      </c>
      <c r="AN1007" s="946"/>
      <c r="AP1007" s="478" t="s">
        <v>6559</v>
      </c>
      <c r="AQ1007" s="947" t="s">
        <v>6560</v>
      </c>
      <c r="AR1007" s="478" t="s">
        <v>6561</v>
      </c>
      <c r="AS1007" s="478" t="s">
        <v>6562</v>
      </c>
      <c r="AT1007" s="478" t="s">
        <v>6562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44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44">
        <f>IF(ISERROR(PV_DATA[[#This Row],[New Ark PO status]]),"",_xlfn.XLOOKUP(PV_DATA[[#This Row],[SPTN-PVHK New Ark PO'#]],New_Ark_Data[Purchase order Number],New_Ark_Data[Estimated time of arrival],"",0))</f>
        <v>46309</v>
      </c>
      <c r="AZ1007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44">
        <f>IFERROR(PV_DATA[[#This Row],[ODP ETA Port]]+PV_DATA[[#This Row],[Customs/Leg3 Assumption]],"n/a")</f>
        <v>46311</v>
      </c>
      <c r="BB1007" s="939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42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8" t="str">
        <f>_xlfn.XLOOKUP(PV_DATA[[#This Row],[PORT DESTINATION]],Table12[PORT DESTINATION],Table12[Cosco Line],,0)</f>
        <v>AEU</v>
      </c>
    </row>
    <row r="1008" spans="1:60" s="478" customFormat="1" ht="10.5" hidden="1">
      <c r="A1008" s="1188" t="s">
        <v>6563</v>
      </c>
      <c r="B1008" s="1172" t="s">
        <v>1757</v>
      </c>
      <c r="C1008" s="937" t="str">
        <f>IFERROR(LEFT(PV_DATA[[#This Row],[TCL REFERENCE]],FIND(".",PV_DATA[[#This Row],[TCL REFERENCE]],1)-1),"Main Line")</f>
        <v>26Aug008</v>
      </c>
      <c r="D1008" s="1172" t="s">
        <v>63</v>
      </c>
      <c r="E1008" s="1172" t="s">
        <v>64</v>
      </c>
      <c r="F1008" s="93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72" t="s">
        <v>402</v>
      </c>
      <c r="H1008" s="937" t="s">
        <v>451</v>
      </c>
      <c r="I1008" s="937" t="s">
        <v>1395</v>
      </c>
      <c r="J1008" s="1179" t="s">
        <v>6287</v>
      </c>
      <c r="L1008" s="938"/>
      <c r="M1008" s="478" t="s">
        <v>68</v>
      </c>
      <c r="N1008" s="938" t="s">
        <v>6174</v>
      </c>
      <c r="O1008" s="1179" t="s">
        <v>284</v>
      </c>
      <c r="P1008" s="1179" t="s">
        <v>6181</v>
      </c>
      <c r="Q1008" s="1179" t="s">
        <v>6182</v>
      </c>
      <c r="R1008" s="478" t="str">
        <f>_xlfn.XLOOKUP(PV_DATA[[#This Row],[New Ark SKU]],Table9[New Ark SKU],Table9[Connector],,0)</f>
        <v>EVO2A</v>
      </c>
      <c r="S1008" s="939" t="str">
        <f>_xlfn.XLOOKUP(PV_DATA[[#This Row],[New Ark SKU]],Table9[New Ark SKU],Table9[Cable],,0)</f>
        <v>±1200mm</v>
      </c>
      <c r="T1008" s="1180">
        <v>490</v>
      </c>
      <c r="U1008" s="1223">
        <v>2808</v>
      </c>
      <c r="V1008" s="1181">
        <f>PV_DATA[[#This Row],[QUANTITY]]*PV_DATA[[#This Row],[WATT]]/1000000</f>
        <v>1.37592</v>
      </c>
      <c r="W1008" s="1178">
        <f>PV_DATA[[#This Row],[QUANTITY]]/36</f>
        <v>78</v>
      </c>
      <c r="X1008" s="1117">
        <f>PV_DATA[[#This Row],[QUANTITY]]/PV_DATA[[#This Row],[Qty/CT]]</f>
        <v>3</v>
      </c>
      <c r="Y1008" s="478" t="s">
        <v>2464</v>
      </c>
      <c r="Z1008" s="478" t="str">
        <f>IF(AN1008&lt;&gt;"","COMPLETED",IF(AK1008&lt;&gt;"","IN-TRANSIT",""))</f>
        <v>IN-TRANSIT</v>
      </c>
      <c r="AA1008" s="1182" t="s">
        <v>5848</v>
      </c>
      <c r="AB1008" s="944">
        <v>46264</v>
      </c>
      <c r="AC1008" s="945">
        <f>IF(PV_DATA[[#This Row],[Pick-Up Date]]&lt;&gt;"",_xlfn.ISOWEEKNUM(PV_DATA[[#This Row],[Pick-Up Date]]),"")</f>
        <v>35</v>
      </c>
      <c r="AD1008" s="478" t="s">
        <v>6564</v>
      </c>
      <c r="AF1008" s="478" t="s">
        <v>1525</v>
      </c>
      <c r="AG1008" s="478" t="s">
        <v>5992</v>
      </c>
      <c r="AH1008" s="478" t="s">
        <v>456</v>
      </c>
      <c r="AI1008" s="944">
        <v>46269</v>
      </c>
      <c r="AJ1008" s="944">
        <f>IFERROR(VLOOKUP(AT1008, Vessel!A:D, 4, FALSE), "")</f>
        <v>46269.041666666664</v>
      </c>
      <c r="AK1008" s="944">
        <f>IFERROR(IF(VLOOKUP(AT1008,Vessel!A:F,5,FALSE)=0,"",VLOOKUP(AT1008,Vessel!A:F,5,FALSE)),"")</f>
        <v>46269.101157407407</v>
      </c>
      <c r="AL1008" s="1272">
        <v>46306</v>
      </c>
      <c r="AM1008" s="946">
        <f>IFERROR(VLOOKUP(AT1008, Vessel!A:H, 8, FALSE), "")</f>
        <v>46308.625</v>
      </c>
      <c r="AN1008" s="946" t="str">
        <f>IFERROR(IF(VLOOKUP(AT1008,Vessel!A:I,9,FALSE)=0,"",VLOOKUP(AT1008,Vessel!A:I,9,FALSE)),"")</f>
        <v/>
      </c>
      <c r="AO1008" s="947"/>
      <c r="AP1008" s="478" t="s">
        <v>6565</v>
      </c>
      <c r="AQ1008" s="478" t="s">
        <v>80</v>
      </c>
      <c r="AR1008" s="478" t="s">
        <v>6566</v>
      </c>
      <c r="AS1008" s="478" t="s">
        <v>6567</v>
      </c>
      <c r="AT1008" s="478" t="s">
        <v>6567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39"/>
      <c r="AW1008" s="944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4">
        <f>IF(ISERROR(PV_DATA[[#This Row],[New Ark PO status]]),"",_xlfn.XLOOKUP(PV_DATA[[#This Row],[SPTN-PVHK New Ark PO'#]],New_Ark_Data[Purchase order Number],New_Ark_Data[Estimated time of arrival],"",0))</f>
        <v>46314</v>
      </c>
      <c r="AZ1008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44">
        <f>IFERROR(PV_DATA[[#This Row],[ODP ETA Port]]+PV_DATA[[#This Row],[Customs/Leg3 Assumption]],"n/a")</f>
        <v>46315.625</v>
      </c>
      <c r="BB1008" s="939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936</v>
      </c>
      <c r="BG1008" s="478" t="str">
        <f>_xlfn.XLOOKUP(PV_DATA[[#This Row],[New Ark SKU]],Table9[New Ark SKU],Table9[Back Glass],,0)</f>
        <v>Black glazing</v>
      </c>
      <c r="BH1008" s="948" t="str">
        <f>_xlfn.XLOOKUP(PV_DATA[[#This Row],[PORT DESTINATION]],Table12[PORT DESTINATION],Table12[Cosco Line],,0)</f>
        <v>AEU</v>
      </c>
    </row>
    <row r="1009" spans="1:60" s="478" customFormat="1" ht="10.5" hidden="1">
      <c r="A1009" s="937" t="s">
        <v>6568</v>
      </c>
      <c r="B1009" s="937" t="s">
        <v>1757</v>
      </c>
      <c r="C1009" s="937" t="str">
        <f>IFERROR(LEFT(PV_DATA[[#This Row],[TCL REFERENCE]],FIND(".",PV_DATA[[#This Row],[TCL REFERENCE]],1)-1),"Main Line")</f>
        <v>26Jul007</v>
      </c>
      <c r="D1009" s="937" t="s">
        <v>63</v>
      </c>
      <c r="E1009" s="937" t="s">
        <v>64</v>
      </c>
      <c r="F1009" s="93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37" t="s">
        <v>402</v>
      </c>
      <c r="H1009" s="937" t="s">
        <v>67</v>
      </c>
      <c r="I1009" s="937" t="s">
        <v>689</v>
      </c>
      <c r="J1009" s="478" t="s">
        <v>96</v>
      </c>
      <c r="K1009" s="937"/>
      <c r="M1009" s="478" t="s">
        <v>6273</v>
      </c>
      <c r="N1009" s="938">
        <v>46209</v>
      </c>
      <c r="O1009" s="478" t="s">
        <v>4526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9" t="str">
        <f>_xlfn.XLOOKUP(PV_DATA[[#This Row],[New Ark SKU]],Table9[New Ark SKU],Table9[Cable],,0)</f>
        <v>±1200mm</v>
      </c>
      <c r="T1009" s="939">
        <v>500</v>
      </c>
      <c r="U1009" s="1222">
        <v>864</v>
      </c>
      <c r="V1009" s="940">
        <f>PV_DATA[[#This Row],[QUANTITY]]*PV_DATA[[#This Row],[WATT]]/1000000</f>
        <v>0.432</v>
      </c>
      <c r="W1009" s="941">
        <f>PV_DATA[[#This Row],[QUANTITY]]/PV_DATA[[#This Row],[Qty/Pallet]]</f>
        <v>24</v>
      </c>
      <c r="X1009" s="1117">
        <f>PV_DATA[[#This Row],[QUANTITY]]/PV_DATA[[#This Row],[Qty/CT]]</f>
        <v>1</v>
      </c>
      <c r="Y1009" s="478" t="s">
        <v>2464</v>
      </c>
      <c r="Z1009" s="478" t="str">
        <f>IF(AN1009&lt;&gt;"","COMPLETED",IF(AK1009&lt;&gt;"","IN-TRANSIT",""))</f>
        <v>IN-TRANSIT</v>
      </c>
      <c r="AA1009" s="1182" t="s">
        <v>5848</v>
      </c>
      <c r="AB1009" s="944">
        <v>46264</v>
      </c>
      <c r="AC1009" s="945">
        <f>IF(PV_DATA[[#This Row],[Pick-Up Date]]&lt;&gt;"",_xlfn.ISOWEEKNUM(PV_DATA[[#This Row],[Pick-Up Date]]),"")</f>
        <v>35</v>
      </c>
      <c r="AD1009" s="478" t="s">
        <v>6569</v>
      </c>
      <c r="AF1009" s="949" t="s">
        <v>1525</v>
      </c>
      <c r="AG1009" s="949" t="s">
        <v>1525</v>
      </c>
      <c r="AH1009" s="478" t="s">
        <v>78</v>
      </c>
      <c r="AI1009" s="944">
        <v>46268</v>
      </c>
      <c r="AJ1009" s="944"/>
      <c r="AK1009" s="944">
        <f>IFERROR(IF(VLOOKUP(AT1009,Vessel!A:F,5,FALSE)=0,"",VLOOKUP(AT1009,Vessel!A:F,5,FALSE)),"")</f>
        <v>46268.365231481483</v>
      </c>
      <c r="AL1009" s="944">
        <v>46316</v>
      </c>
      <c r="AM1009" s="946">
        <f>IFERROR(VLOOKUP(AT1009, Vessel!A:H, 8, FALSE), "")</f>
        <v>46309.25</v>
      </c>
      <c r="AN1009" s="946" t="str">
        <f>IFERROR(IF(VLOOKUP(AT1009,Vessel!A:I,9,FALSE)=0,"",VLOOKUP(AT1009,Vessel!A:I,9,FALSE)),"")</f>
        <v/>
      </c>
      <c r="AP1009" s="478" t="s">
        <v>6570</v>
      </c>
      <c r="AQ1009" s="478" t="s">
        <v>80</v>
      </c>
      <c r="AR1009" s="478" t="s">
        <v>6571</v>
      </c>
      <c r="AS1009" s="478" t="s">
        <v>6572</v>
      </c>
      <c r="AT1009" s="478" t="s">
        <v>6572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44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4">
        <f>IF(ISERROR(PV_DATA[[#This Row],[New Ark PO status]]),"",_xlfn.XLOOKUP(PV_DATA[[#This Row],[SPTN-PVHK New Ark PO'#]],New_Ark_Data[Purchase order Number],New_Ark_Data[Estimated time of arrival],"",0))</f>
        <v>46317</v>
      </c>
      <c r="AZ100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44">
        <f>IFERROR(PV_DATA[[#This Row],[ODP ETA Port]]+PV_DATA[[#This Row],[Customs/Leg3 Assumption]],"n/a")</f>
        <v>46317.25</v>
      </c>
      <c r="BB1009" s="939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43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478" t="str">
        <f>_xlfn.XLOOKUP(PV_DATA[[#This Row],[PORT DESTINATION]],Table12[PORT DESTINATION],Table12[Cosco Line],,0)</f>
        <v>AEM</v>
      </c>
    </row>
    <row r="1010" spans="1:60" s="478" customFormat="1" ht="10.5" hidden="1">
      <c r="A1010" s="1171" t="s">
        <v>6573</v>
      </c>
      <c r="B1010" s="937" t="s">
        <v>61</v>
      </c>
      <c r="C1010" s="937" t="str">
        <f>IFERROR(LEFT(PV_DATA[[#This Row],[TCL REFERENCE]],FIND(".",PV_DATA[[#This Row],[TCL REFERENCE]],1)-1),"Main Line")</f>
        <v>26Aug003</v>
      </c>
      <c r="D1010" s="937" t="s">
        <v>63</v>
      </c>
      <c r="E1010" s="937" t="s">
        <v>64</v>
      </c>
      <c r="F1010" s="937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7" t="s">
        <v>402</v>
      </c>
      <c r="H1010" s="937" t="s">
        <v>67</v>
      </c>
      <c r="I1010" s="937" t="s">
        <v>6372</v>
      </c>
      <c r="J1010" s="478" t="s">
        <v>96</v>
      </c>
      <c r="K1010" s="937"/>
      <c r="M1010" s="478" t="s">
        <v>6273</v>
      </c>
      <c r="N1010" s="938">
        <v>46237</v>
      </c>
      <c r="O1010" s="478" t="s">
        <v>4526</v>
      </c>
      <c r="P1010" s="478" t="s">
        <v>71</v>
      </c>
      <c r="Q1010" s="478" t="s">
        <v>72</v>
      </c>
      <c r="R1010" s="478" t="str">
        <f>_xlfn.XLOOKUP(PV_DATA[[#This Row],[New Ark SKU]],Table9[New Ark SKU],Table9[Connector],,0)</f>
        <v>EVO2A</v>
      </c>
      <c r="S1010" s="939" t="str">
        <f>_xlfn.XLOOKUP(PV_DATA[[#This Row],[New Ark SKU]],Table9[New Ark SKU],Table9[Cable],,0)</f>
        <v>±1200mm</v>
      </c>
      <c r="T1010" s="939">
        <v>500</v>
      </c>
      <c r="U1010" s="1222">
        <v>4320</v>
      </c>
      <c r="V1010" s="940">
        <f>PV_DATA[[#This Row],[QUANTITY]]*PV_DATA[[#This Row],[WATT]]/1000000</f>
        <v>2.16</v>
      </c>
      <c r="W1010" s="941">
        <f>PV_DATA[[#This Row],[QUANTITY]]/PV_DATA[[#This Row],[Qty/Pallet]]</f>
        <v>120</v>
      </c>
      <c r="X1010" s="1117">
        <f>PV_DATA[[#This Row],[QUANTITY]]/PV_DATA[[#This Row],[Qty/CT]]</f>
        <v>5</v>
      </c>
      <c r="Y1010" s="478" t="s">
        <v>2463</v>
      </c>
      <c r="AA1010" s="478" t="s">
        <v>5848</v>
      </c>
      <c r="AB1010" s="950">
        <v>46262</v>
      </c>
      <c r="AC1010" s="945">
        <f>IF(PV_DATA[[#This Row],[Pick-Up Date]]&lt;&gt;"",_xlfn.ISOWEEKNUM(PV_DATA[[#This Row],[Pick-Up Date]]),"")</f>
        <v>35</v>
      </c>
      <c r="AD1010" s="478" t="s">
        <v>6574</v>
      </c>
      <c r="AF1010" s="949" t="s">
        <v>61</v>
      </c>
      <c r="AG1010" s="949" t="s">
        <v>61</v>
      </c>
      <c r="AH1010" s="478" t="s">
        <v>105</v>
      </c>
      <c r="AI1010" s="1176">
        <v>46268</v>
      </c>
      <c r="AJ1010" s="944">
        <f>IFERROR(VLOOKUP(AT1010, Vessel!A:D, 4, FALSE), "")</f>
        <v>46269.833333333336</v>
      </c>
      <c r="AK1010" s="944">
        <f>IFERROR(IF(VLOOKUP(AT1010,Vessel!A:F,5,FALSE)=0,"",VLOOKUP(AT1010,Vessel!A:F,5,FALSE)),"")</f>
        <v>46269.854108796295</v>
      </c>
      <c r="AL1010" s="1183">
        <v>46313</v>
      </c>
      <c r="AM1010" s="946">
        <f>IFERROR(VLOOKUP(AT1010, Vessel!A:H, 8, FALSE), "")</f>
        <v>46314.833333333336</v>
      </c>
      <c r="AN1010" s="946" t="str">
        <f>IFERROR(IF(VLOOKUP(AT1010,Vessel!A:I,9,FALSE)=0,"",VLOOKUP(AT1010,Vessel!A:I,9,FALSE)),"")</f>
        <v/>
      </c>
      <c r="AO1010" s="937" t="s">
        <v>402</v>
      </c>
      <c r="AP1010" s="478" t="s">
        <v>6575</v>
      </c>
      <c r="AQ1010" s="478" t="s">
        <v>80</v>
      </c>
      <c r="AR1010" s="478" t="s">
        <v>6576</v>
      </c>
      <c r="AS1010" s="478" t="s">
        <v>6577</v>
      </c>
      <c r="AT1010" s="478" t="s">
        <v>6577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4">
        <f>IF(ISERROR(PV_DATA[[#This Row],[New Ark PO status]]),"",_xlfn.XLOOKUP(PV_DATA[[#This Row],[SPTN-PVHK New Ark PO'#]],New_Ark_Data[Purchase order Number],New_Ark_Data[Estimated time of arrival],"",0))</f>
        <v>46321</v>
      </c>
      <c r="AZ101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4">
        <f>IFERROR(PV_DATA[[#This Row],[ODP ETA Port]]+PV_DATA[[#This Row],[Customs/Leg3 Assumption]],"n/a")</f>
        <v>46321.833333333336</v>
      </c>
      <c r="BB1010" s="939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8" t="str">
        <f>_xlfn.XLOOKUP(PV_DATA[[#This Row],[PORT DESTINATION]],Table12[PORT DESTINATION],Table12[Cosco Line],,0)</f>
        <v>AEU</v>
      </c>
    </row>
    <row r="1011" spans="1:60" s="478" customFormat="1" ht="10.5" hidden="1">
      <c r="A1011" s="1171" t="s">
        <v>6578</v>
      </c>
      <c r="B1011" s="937" t="s">
        <v>61</v>
      </c>
      <c r="C1011" s="937" t="str">
        <f>IFERROR(LEFT(PV_DATA[[#This Row],[TCL REFERENCE]],FIND(".",PV_DATA[[#This Row],[TCL REFERENCE]],1)-1),"Main Line")</f>
        <v>26Aug004</v>
      </c>
      <c r="D1011" s="937" t="s">
        <v>63</v>
      </c>
      <c r="E1011" s="937" t="s">
        <v>64</v>
      </c>
      <c r="F1011" s="937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37" t="s">
        <v>402</v>
      </c>
      <c r="H1011" s="937" t="s">
        <v>67</v>
      </c>
      <c r="I1011" s="937" t="s">
        <v>6372</v>
      </c>
      <c r="J1011" s="478" t="s">
        <v>96</v>
      </c>
      <c r="M1011" s="478" t="s">
        <v>6273</v>
      </c>
      <c r="N1011" s="938">
        <v>46237</v>
      </c>
      <c r="O1011" s="478" t="s">
        <v>4526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9" t="str">
        <f>_xlfn.XLOOKUP(PV_DATA[[#This Row],[New Ark SKU]],Table9[New Ark SKU],Table9[Cable],,0)</f>
        <v>±1200mm</v>
      </c>
      <c r="T1011" s="939">
        <v>505</v>
      </c>
      <c r="U1011" s="1222">
        <v>2592</v>
      </c>
      <c r="V1011" s="940">
        <f>PV_DATA[[#This Row],[QUANTITY]]*PV_DATA[[#This Row],[WATT]]/1000000</f>
        <v>1.3089599999999999</v>
      </c>
      <c r="W1011" s="941">
        <f>PV_DATA[[#This Row],[QUANTITY]]/PV_DATA[[#This Row],[Qty/Pallet]]</f>
        <v>72</v>
      </c>
      <c r="X1011" s="1117">
        <f>PV_DATA[[#This Row],[QUANTITY]]/PV_DATA[[#This Row],[Qty/CT]]</f>
        <v>3</v>
      </c>
      <c r="Y1011" s="478" t="s">
        <v>2466</v>
      </c>
      <c r="Z1011" s="478" t="str">
        <f t="shared" ref="Z1011:Z1016" si="18">IF(AN1011&lt;&gt;"","COMPLETED",IF(AK1011&lt;&gt;"","IN-TRANSIT",""))</f>
        <v>IN-TRANSIT</v>
      </c>
      <c r="AA1011" s="478" t="s">
        <v>6373</v>
      </c>
      <c r="AB1011" s="950">
        <v>46262</v>
      </c>
      <c r="AC1011" s="945">
        <f>IF(PV_DATA[[#This Row],[Pick-Up Date]]&lt;&gt;"",_xlfn.ISOWEEKNUM(PV_DATA[[#This Row],[Pick-Up Date]]),"")</f>
        <v>35</v>
      </c>
      <c r="AD1011" s="478" t="s">
        <v>6579</v>
      </c>
      <c r="AF1011" s="949" t="s">
        <v>61</v>
      </c>
      <c r="AG1011" s="949" t="s">
        <v>61</v>
      </c>
      <c r="AH1011" s="478" t="s">
        <v>105</v>
      </c>
      <c r="AI1011" s="1176">
        <v>46268</v>
      </c>
      <c r="AJ1011" s="944">
        <f>IFERROR(VLOOKUP(AT1011, Vessel!A:D, 4, FALSE), "")</f>
        <v>46269.833333333336</v>
      </c>
      <c r="AK1011" s="944">
        <f>IFERROR(IF(VLOOKUP(AT1011,Vessel!A:F,5,FALSE)=0,"",VLOOKUP(AT1011,Vessel!A:F,5,FALSE)),"")</f>
        <v>46269.854108796295</v>
      </c>
      <c r="AL1011" s="1183">
        <v>46313</v>
      </c>
      <c r="AM1011" s="946">
        <f>IFERROR(VLOOKUP(AT1011, Vessel!A:H, 8, FALSE), "")</f>
        <v>46314.833333333336</v>
      </c>
      <c r="AN1011" s="946" t="str">
        <f>IFERROR(IF(VLOOKUP(AT1011,Vessel!A:I,9,FALSE)=0,"",VLOOKUP(AT1011,Vessel!A:I,9,FALSE)),"")</f>
        <v/>
      </c>
      <c r="AO1011" s="937" t="s">
        <v>402</v>
      </c>
      <c r="AP1011" s="478" t="s">
        <v>6575</v>
      </c>
      <c r="AQ1011" s="947" t="s">
        <v>80</v>
      </c>
      <c r="AR1011" s="478" t="s">
        <v>6576</v>
      </c>
      <c r="AS1011" s="478" t="s">
        <v>6577</v>
      </c>
      <c r="AT1011" s="478" t="s">
        <v>6577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4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44">
        <f>IF(ISERROR(PV_DATA[[#This Row],[New Ark PO status]]),"",_xlfn.XLOOKUP(PV_DATA[[#This Row],[SPTN-PVHK New Ark PO'#]],New_Ark_Data[Purchase order Number],New_Ark_Data[Estimated time of arrival],"",0))</f>
        <v>46321</v>
      </c>
      <c r="AZ101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44">
        <f>IFERROR(PV_DATA[[#This Row],[ODP ETA Port]]+PV_DATA[[#This Row],[Customs/Leg3 Assumption]],"n/a")</f>
        <v>46321.833333333336</v>
      </c>
      <c r="BB1011" s="939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8" t="str">
        <f>_xlfn.XLOOKUP(PV_DATA[[#This Row],[PORT DESTINATION]],Table12[PORT DESTINATION],Table12[Cosco Line],,0)</f>
        <v>AEU</v>
      </c>
    </row>
    <row r="1012" spans="1:60" s="478" customFormat="1" ht="10.5" hidden="1">
      <c r="A1012" s="1171" t="s">
        <v>6580</v>
      </c>
      <c r="B1012" s="937" t="s">
        <v>61</v>
      </c>
      <c r="C1012" s="937" t="str">
        <f>IFERROR(LEFT(PV_DATA[[#This Row],[TCL REFERENCE]],FIND(".",PV_DATA[[#This Row],[TCL REFERENCE]],1)-1),"Main Line")</f>
        <v>26Aug004</v>
      </c>
      <c r="D1012" s="937" t="s">
        <v>63</v>
      </c>
      <c r="E1012" s="937" t="s">
        <v>144</v>
      </c>
      <c r="F1012" s="937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37" t="s">
        <v>146</v>
      </c>
      <c r="H1012" s="937" t="s">
        <v>4959</v>
      </c>
      <c r="I1012" s="937" t="s">
        <v>869</v>
      </c>
      <c r="J1012" s="937" t="s">
        <v>4959</v>
      </c>
      <c r="K1012" s="478" t="s">
        <v>6296</v>
      </c>
      <c r="L1012" s="478">
        <v>3</v>
      </c>
      <c r="M1012" s="478" t="s">
        <v>6247</v>
      </c>
      <c r="N1012" s="938">
        <v>46237</v>
      </c>
      <c r="O1012" s="478" t="s">
        <v>4526</v>
      </c>
      <c r="P1012" s="478" t="s">
        <v>1151</v>
      </c>
      <c r="Q1012" s="478" t="s">
        <v>421</v>
      </c>
      <c r="R1012" s="478" t="str">
        <f>_xlfn.XLOOKUP(PV_DATA[[#This Row],[New Ark SKU]],Table9[New Ark SKU],Table9[Connector],,0)</f>
        <v>EVO2A</v>
      </c>
      <c r="S1012" s="939" t="str">
        <f>_xlfn.XLOOKUP(PV_DATA[[#This Row],[New Ark SKU]],Table9[New Ark SKU],Table9[Cable],,0)</f>
        <v>±1200mm</v>
      </c>
      <c r="T1012" s="939">
        <v>505</v>
      </c>
      <c r="U1012" s="1222">
        <f>864*2</f>
        <v>1728</v>
      </c>
      <c r="V1012" s="940">
        <f>PV_DATA[[#This Row],[QUANTITY]]*PV_DATA[[#This Row],[WATT]]/1000000</f>
        <v>0.87263999999999997</v>
      </c>
      <c r="W1012" s="941">
        <f>PV_DATA[[#This Row],[QUANTITY]]/PV_DATA[[#This Row],[Qty/Pallet]]</f>
        <v>48</v>
      </c>
      <c r="X1012" s="1117">
        <f>PV_DATA[[#This Row],[QUANTITY]]/PV_DATA[[#This Row],[Qty/CT]]</f>
        <v>2</v>
      </c>
      <c r="Y1012" s="478" t="s">
        <v>2466</v>
      </c>
      <c r="Z1012" s="478" t="str">
        <f t="shared" si="18"/>
        <v>IN-TRANSIT</v>
      </c>
      <c r="AA1012" s="478" t="s">
        <v>6373</v>
      </c>
      <c r="AB1012" s="950">
        <v>46261</v>
      </c>
      <c r="AC1012" s="945">
        <f>IF(PV_DATA[[#This Row],[Pick-Up Date]]&lt;&gt;"",_xlfn.ISOWEEKNUM(PV_DATA[[#This Row],[Pick-Up Date]]),"")</f>
        <v>35</v>
      </c>
      <c r="AD1012" s="478" t="s">
        <v>6581</v>
      </c>
      <c r="AF1012" s="949" t="s">
        <v>61</v>
      </c>
      <c r="AG1012" s="949" t="s">
        <v>61</v>
      </c>
      <c r="AH1012" s="478" t="s">
        <v>78</v>
      </c>
      <c r="AI1012" s="942">
        <v>46268</v>
      </c>
      <c r="AJ1012" s="944">
        <f>IFERROR(VLOOKUP(AT1012, Vessel!A:D, 4, FALSE), "")</f>
        <v>46269.833333333336</v>
      </c>
      <c r="AK1012" s="944">
        <f>IFERROR(IF(VLOOKUP(AT1012,Vessel!A:F,5,FALSE)=0,"",VLOOKUP(AT1012,Vessel!A:F,5,FALSE)),"")</f>
        <v>46269.854108796295</v>
      </c>
      <c r="AL1012" s="1183">
        <v>46323</v>
      </c>
      <c r="AM1012" s="946">
        <f>IFERROR(VLOOKUP(AT1012, Vessel!A:H, 8, FALSE), "")</f>
        <v>46323.25</v>
      </c>
      <c r="AN1012" s="946" t="str">
        <f>IFERROR(IF(VLOOKUP(AT1012,Vessel!A:I,9,FALSE)=0,"",VLOOKUP(AT1012,Vessel!A:I,9,FALSE)),"")</f>
        <v/>
      </c>
      <c r="AO1012" s="937" t="s">
        <v>402</v>
      </c>
      <c r="AP1012" s="478" t="s">
        <v>6575</v>
      </c>
      <c r="AQ1012" s="947" t="s">
        <v>80</v>
      </c>
      <c r="AR1012" s="478" t="s">
        <v>6582</v>
      </c>
      <c r="AS1012" s="478" t="s">
        <v>6583</v>
      </c>
      <c r="AT1012" s="478" t="s">
        <v>6583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44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44">
        <f>IF(ISERROR(PV_DATA[[#This Row],[New Ark PO status]]),"",_xlfn.XLOOKUP(PV_DATA[[#This Row],[SPTN-PVHK New Ark PO'#]],New_Ark_Data[Purchase order Number],New_Ark_Data[Estimated time of arrival],"",0))</f>
        <v>46323</v>
      </c>
      <c r="AZ1012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44">
        <f>IFERROR(PV_DATA[[#This Row],[ODP ETA Port]]+PV_DATA[[#This Row],[Customs/Leg3 Assumption]],"n/a")</f>
        <v>46323.25</v>
      </c>
      <c r="BB1012" s="939">
        <f>YEAR(PV_DATA[[#This Row],[ETA for New Ark update]])</f>
        <v>2026</v>
      </c>
      <c r="BC1012" s="478">
        <f>MONTH(PV_DATA[[#This Row],[ETA for New Ark update]])</f>
        <v>10</v>
      </c>
      <c r="BD1012" s="478">
        <f>IFERROR(_xlfn.ISOWEEKNUM(PV_DATA[[#This Row],[ETA for New Ark update]]),0)</f>
        <v>44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8" t="str">
        <f>_xlfn.XLOOKUP(PV_DATA[[#This Row],[PORT DESTINATION]],Table12[PORT DESTINATION],Table12[Cosco Line],,0)</f>
        <v>AEM</v>
      </c>
    </row>
    <row r="1013" spans="1:60" s="478" customFormat="1" ht="10.5" hidden="1">
      <c r="A1013" s="1171" t="s">
        <v>6584</v>
      </c>
      <c r="B1013" s="937" t="s">
        <v>61</v>
      </c>
      <c r="C1013" s="937" t="str">
        <f>IFERROR(LEFT(PV_DATA[[#This Row],[TCL REFERENCE]],FIND(".",PV_DATA[[#This Row],[TCL REFERENCE]],1)-1),"Main Line")</f>
        <v>26Aug006</v>
      </c>
      <c r="D1013" s="937" t="s">
        <v>63</v>
      </c>
      <c r="E1013" s="937" t="s">
        <v>64</v>
      </c>
      <c r="F1013" s="937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37" t="s">
        <v>402</v>
      </c>
      <c r="H1013" s="937" t="s">
        <v>67</v>
      </c>
      <c r="I1013" s="937" t="s">
        <v>882</v>
      </c>
      <c r="J1013" s="478" t="s">
        <v>96</v>
      </c>
      <c r="M1013" s="478" t="s">
        <v>6273</v>
      </c>
      <c r="N1013" s="938">
        <v>46258</v>
      </c>
      <c r="O1013" s="478" t="s">
        <v>4526</v>
      </c>
      <c r="P1013" s="478" t="s">
        <v>691</v>
      </c>
      <c r="Q1013" s="478" t="s">
        <v>692</v>
      </c>
      <c r="R1013" s="478" t="str">
        <f>_xlfn.XLOOKUP(PV_DATA[[#This Row],[New Ark SKU]],Table9[New Ark SKU],Table9[Connector],,0)</f>
        <v>EVO2A</v>
      </c>
      <c r="S1013" s="939" t="str">
        <f>_xlfn.XLOOKUP(PV_DATA[[#This Row],[New Ark SKU]],Table9[New Ark SKU],Table9[Cable],,0)</f>
        <v>±1200mm</v>
      </c>
      <c r="T1013" s="939">
        <v>505</v>
      </c>
      <c r="U1013" s="1222">
        <f>864*4</f>
        <v>3456</v>
      </c>
      <c r="V1013" s="940">
        <f>PV_DATA[[#This Row],[QUANTITY]]*PV_DATA[[#This Row],[WATT]]/1000000</f>
        <v>1.7452799999999999</v>
      </c>
      <c r="W1013" s="941">
        <f>PV_DATA[[#This Row],[QUANTITY]]/PV_DATA[[#This Row],[Qty/Pallet]]</f>
        <v>96</v>
      </c>
      <c r="X1013" s="1117">
        <f>PV_DATA[[#This Row],[QUANTITY]]/PV_DATA[[#This Row],[Qty/CT]]</f>
        <v>4</v>
      </c>
      <c r="Y1013" s="478" t="s">
        <v>2465</v>
      </c>
      <c r="Z1013" s="478" t="str">
        <f t="shared" si="18"/>
        <v>IN-TRANSIT</v>
      </c>
      <c r="AA1013" s="478" t="s">
        <v>6585</v>
      </c>
      <c r="AB1013" s="950">
        <v>46262</v>
      </c>
      <c r="AC1013" s="945">
        <f>IF(PV_DATA[[#This Row],[Pick-Up Date]]&lt;&gt;"",_xlfn.ISOWEEKNUM(PV_DATA[[#This Row],[Pick-Up Date]]),"")</f>
        <v>35</v>
      </c>
      <c r="AD1013" s="478" t="s">
        <v>6586</v>
      </c>
      <c r="AF1013" s="478" t="s">
        <v>77</v>
      </c>
      <c r="AG1013" s="478" t="s">
        <v>61</v>
      </c>
      <c r="AH1013" s="478" t="s">
        <v>78</v>
      </c>
      <c r="AI1013" s="950">
        <v>46268</v>
      </c>
      <c r="AJ1013" s="944">
        <f>IFERROR(VLOOKUP(AT1013, Vessel!A:D, 4, FALSE), "")</f>
        <v>46269.833333333336</v>
      </c>
      <c r="AK1013" s="944">
        <f>IFERROR(IF(VLOOKUP(AT1013,Vessel!A:F,5,FALSE)=0,"",VLOOKUP(AT1013,Vessel!A:F,5,FALSE)),"")</f>
        <v>46269.854108796295</v>
      </c>
      <c r="AL1013" s="944">
        <v>46335</v>
      </c>
      <c r="AM1013" s="946">
        <f>IFERROR(VLOOKUP(AT1013, Vessel!A:H, 8, FALSE), "")</f>
        <v>46335.791666666664</v>
      </c>
      <c r="AN1013" s="946" t="str">
        <f>IFERROR(IF(VLOOKUP(AT1013,Vessel!A:I,9,FALSE)=0,"",VLOOKUP(AT1013,Vessel!A:I,9,FALSE)),"")</f>
        <v/>
      </c>
      <c r="AO1013" s="937" t="s">
        <v>402</v>
      </c>
      <c r="AP1013" s="478" t="s">
        <v>6575</v>
      </c>
      <c r="AQ1013" s="947" t="s">
        <v>80</v>
      </c>
      <c r="AR1013" s="478" t="s">
        <v>6587</v>
      </c>
      <c r="AS1013" s="478" t="s">
        <v>6588</v>
      </c>
      <c r="AT1013" s="478" t="s">
        <v>6588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44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4">
        <f>IF(ISERROR(PV_DATA[[#This Row],[New Ark PO status]]),"",_xlfn.XLOOKUP(PV_DATA[[#This Row],[SPTN-PVHK New Ark PO'#]],New_Ark_Data[Purchase order Number],New_Ark_Data[Estimated time of arrival],"",0))</f>
        <v>46343</v>
      </c>
      <c r="AZ101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44">
        <f>IFERROR(PV_DATA[[#This Row],[ODP ETA Port]]+PV_DATA[[#This Row],[Customs/Leg3 Assumption]],"n/a")</f>
        <v>46343.791666666664</v>
      </c>
      <c r="BB1013" s="939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864</v>
      </c>
      <c r="BG1013" s="478" t="str">
        <f>_xlfn.XLOOKUP(PV_DATA[[#This Row],[New Ark SKU]],Table9[New Ark SKU],Table9[Back Glass],,0)</f>
        <v>Black glazing</v>
      </c>
      <c r="BH1013" s="948" t="str">
        <f>_xlfn.XLOOKUP(PV_DATA[[#This Row],[PORT DESTINATION]],Table12[PORT DESTINATION],Table12[Cosco Line],,0)</f>
        <v>AEM</v>
      </c>
    </row>
    <row r="1014" spans="1:60" s="1185" customFormat="1" ht="12" hidden="1" customHeight="1">
      <c r="A1014" s="937" t="s">
        <v>6589</v>
      </c>
      <c r="B1014" s="937" t="s">
        <v>61</v>
      </c>
      <c r="C1014" s="937" t="str">
        <f>IFERROR(LEFT(PV_DATA[[#This Row],[TCL REFERENCE]],FIND(".",PV_DATA[[#This Row],[TCL REFERENCE]],1)-1),"Main Line")</f>
        <v>26Jun021</v>
      </c>
      <c r="D1014" s="937" t="s">
        <v>63</v>
      </c>
      <c r="E1014" s="937" t="s">
        <v>64</v>
      </c>
      <c r="F1014" s="937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37" t="s">
        <v>402</v>
      </c>
      <c r="H1014" s="937" t="s">
        <v>311</v>
      </c>
      <c r="I1014" s="937" t="s">
        <v>1395</v>
      </c>
      <c r="J1014" s="478" t="s">
        <v>96</v>
      </c>
      <c r="K1014" s="478"/>
      <c r="L1014" s="478"/>
      <c r="M1014" s="478" t="s">
        <v>6273</v>
      </c>
      <c r="N1014" s="938">
        <v>46202</v>
      </c>
      <c r="O1014" s="478" t="s">
        <v>284</v>
      </c>
      <c r="P1014" s="1184" t="s">
        <v>6157</v>
      </c>
      <c r="Q1014" s="478" t="s">
        <v>1570</v>
      </c>
      <c r="R1014" s="478" t="str">
        <f>_xlfn.XLOOKUP(PV_DATA[[#This Row],[New Ark SKU]],Table9[New Ark SKU],Table9[Connector],,0)</f>
        <v>EVO2A</v>
      </c>
      <c r="S1014" s="939" t="str">
        <f>_xlfn.XLOOKUP(PV_DATA[[#This Row],[New Ark SKU]],Table9[New Ark SKU],Table9[Cable],,0)</f>
        <v>±1400mm</v>
      </c>
      <c r="T1014" s="939">
        <v>650</v>
      </c>
      <c r="U1014" s="1222">
        <v>720</v>
      </c>
      <c r="V1014" s="940">
        <f>PV_DATA[[#This Row],[QUANTITY]]*PV_DATA[[#This Row],[WATT]]/1000000</f>
        <v>0.46800000000000003</v>
      </c>
      <c r="W1014" s="941">
        <f>PV_DATA[[#This Row],[QUANTITY]]/PV_DATA[[#This Row],[Qty/Pallet]]</f>
        <v>20</v>
      </c>
      <c r="X1014" s="1117">
        <f>PV_DATA[[#This Row],[QUANTITY]]/PV_DATA[[#This Row],[Qty/CT]]</f>
        <v>1</v>
      </c>
      <c r="Y1014" s="478" t="s">
        <v>2461</v>
      </c>
      <c r="Z1014" s="478" t="str">
        <f t="shared" si="18"/>
        <v>IN-TRANSIT</v>
      </c>
      <c r="AA1014" s="478" t="s">
        <v>5492</v>
      </c>
      <c r="AB1014" s="1176">
        <v>46262</v>
      </c>
      <c r="AC1014" s="945">
        <f>IF(PV_DATA[[#This Row],[Pick-Up Date]]&lt;&gt;"",_xlfn.ISOWEEKNUM(PV_DATA[[#This Row],[Pick-Up Date]]),"")</f>
        <v>35</v>
      </c>
      <c r="AD1014" s="478" t="s">
        <v>6590</v>
      </c>
      <c r="AE1014" s="478"/>
      <c r="AF1014" s="478" t="s">
        <v>61</v>
      </c>
      <c r="AG1014" s="478" t="s">
        <v>61</v>
      </c>
      <c r="AH1014" s="478" t="s">
        <v>1561</v>
      </c>
      <c r="AI1014" s="950">
        <v>46268</v>
      </c>
      <c r="AJ1014" s="944">
        <f>IFERROR(VLOOKUP(AT1014, Vessel!A:D, 4, FALSE), "")</f>
        <v>46269.833333333336</v>
      </c>
      <c r="AK1014" s="944">
        <f>IFERROR(IF(VLOOKUP(AT1014,Vessel!A:F,5,FALSE)=0,"",VLOOKUP(AT1014,Vessel!A:F,5,FALSE)),"")</f>
        <v>46269.854108796295</v>
      </c>
      <c r="AL1014" s="944">
        <v>46334</v>
      </c>
      <c r="AM1014" s="946"/>
      <c r="AN1014" s="946"/>
      <c r="AO1014" s="478" t="s">
        <v>402</v>
      </c>
      <c r="AP1014" s="478" t="s">
        <v>6575</v>
      </c>
      <c r="AQ1014" s="947" t="s">
        <v>80</v>
      </c>
      <c r="AR1014" s="478" t="s">
        <v>6591</v>
      </c>
      <c r="AS1014" s="478" t="s">
        <v>6592</v>
      </c>
      <c r="AT1014" s="478" t="s">
        <v>6592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8"/>
      <c r="AW1014" s="944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4">
        <f>IF(ISERROR(PV_DATA[[#This Row],[New Ark PO status]]),"",_xlfn.XLOOKUP(PV_DATA[[#This Row],[SPTN-PVHK New Ark PO'#]],New_Ark_Data[Purchase order Number],New_Ark_Data[Estimated time of arrival],"",0))</f>
        <v>46346</v>
      </c>
      <c r="AZ1014" s="93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44">
        <f>IFERROR(PV_DATA[[#This Row],[ODP ETA Port]]+PV_DATA[[#This Row],[Customs/Leg3 Assumption]],"n/a")</f>
        <v>46344</v>
      </c>
      <c r="BB1014" s="939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AEM</v>
      </c>
    </row>
    <row r="1015" spans="1:60" s="478" customFormat="1" ht="10.5" hidden="1">
      <c r="A1015" s="937" t="s">
        <v>6593</v>
      </c>
      <c r="B1015" s="937" t="s">
        <v>61</v>
      </c>
      <c r="C1015" s="937" t="str">
        <f>IFERROR(LEFT(PV_DATA[[#This Row],[TCL REFERENCE]],FIND(".",PV_DATA[[#This Row],[TCL REFERENCE]],1)-1),"Main Line")</f>
        <v>26Jun021</v>
      </c>
      <c r="D1015" s="937" t="s">
        <v>63</v>
      </c>
      <c r="E1015" s="937" t="s">
        <v>64</v>
      </c>
      <c r="F1015" s="937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7" t="s">
        <v>402</v>
      </c>
      <c r="H1015" s="937" t="s">
        <v>67</v>
      </c>
      <c r="I1015" s="937" t="s">
        <v>689</v>
      </c>
      <c r="J1015" s="478" t="s">
        <v>96</v>
      </c>
      <c r="M1015" s="478" t="s">
        <v>6273</v>
      </c>
      <c r="N1015" s="938">
        <v>46202</v>
      </c>
      <c r="O1015" s="478" t="s">
        <v>284</v>
      </c>
      <c r="P1015" s="1184" t="s">
        <v>6157</v>
      </c>
      <c r="Q1015" s="478" t="s">
        <v>1570</v>
      </c>
      <c r="R1015" s="478" t="str">
        <f>_xlfn.XLOOKUP(PV_DATA[[#This Row],[New Ark SKU]],Table9[New Ark SKU],Table9[Connector],,0)</f>
        <v>EVO2A</v>
      </c>
      <c r="S1015" s="939" t="str">
        <f>_xlfn.XLOOKUP(PV_DATA[[#This Row],[New Ark SKU]],Table9[New Ark SKU],Table9[Cable],,0)</f>
        <v>±1400mm</v>
      </c>
      <c r="T1015" s="939">
        <v>650</v>
      </c>
      <c r="U1015" s="1222">
        <f>720*2</f>
        <v>1440</v>
      </c>
      <c r="V1015" s="940">
        <f>PV_DATA[[#This Row],[QUANTITY]]*PV_DATA[[#This Row],[WATT]]/1000000</f>
        <v>0.93600000000000005</v>
      </c>
      <c r="W1015" s="941">
        <f>PV_DATA[[#This Row],[QUANTITY]]/PV_DATA[[#This Row],[Qty/Pallet]]</f>
        <v>40</v>
      </c>
      <c r="X1015" s="1117">
        <f>PV_DATA[[#This Row],[QUANTITY]]/PV_DATA[[#This Row],[Qty/CT]]</f>
        <v>2</v>
      </c>
      <c r="Y1015" s="478" t="s">
        <v>2465</v>
      </c>
      <c r="Z1015" s="478" t="str">
        <f t="shared" si="18"/>
        <v>IN-TRANSIT</v>
      </c>
      <c r="AA1015" s="1186" t="s">
        <v>6379</v>
      </c>
      <c r="AB1015" s="1187">
        <v>46258</v>
      </c>
      <c r="AC1015" s="945">
        <f>IF(PV_DATA[[#This Row],[Pick-Up Date]]&lt;&gt;"",_xlfn.ISOWEEKNUM(PV_DATA[[#This Row],[Pick-Up Date]]),"")</f>
        <v>35</v>
      </c>
      <c r="AD1015" s="478" t="s">
        <v>6594</v>
      </c>
      <c r="AF1015" s="478" t="s">
        <v>61</v>
      </c>
      <c r="AG1015" s="478" t="s">
        <v>61</v>
      </c>
      <c r="AH1015" s="478" t="s">
        <v>105</v>
      </c>
      <c r="AI1015" s="950">
        <v>46267</v>
      </c>
      <c r="AJ1015" s="944"/>
      <c r="AK1015" s="950">
        <v>46269</v>
      </c>
      <c r="AL1015" s="944">
        <v>46335</v>
      </c>
      <c r="AM1015" s="944"/>
      <c r="AN1015" s="946"/>
      <c r="AO1015" s="937" t="s">
        <v>402</v>
      </c>
      <c r="AP1015" s="478" t="s">
        <v>6595</v>
      </c>
      <c r="AQ1015" s="947" t="s">
        <v>161</v>
      </c>
      <c r="AR1015" s="478" t="s">
        <v>6596</v>
      </c>
      <c r="AS1015" s="478" t="s">
        <v>6597</v>
      </c>
      <c r="AT1015" s="478" t="s">
        <v>6597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4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4">
        <f>IF(ISERROR(PV_DATA[[#This Row],[New Ark PO status]]),"",_xlfn.XLOOKUP(PV_DATA[[#This Row],[SPTN-PVHK New Ark PO'#]],New_Ark_Data[Purchase order Number],New_Ark_Data[Estimated time of arrival],"",0))</f>
        <v>46342</v>
      </c>
      <c r="AZ1015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4">
        <f>IFERROR(PV_DATA[[#This Row],[ODP ETA Port]]+PV_DATA[[#This Row],[Customs/Leg3 Assumption]],"n/a")</f>
        <v>46342</v>
      </c>
      <c r="BB1015" s="939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720</v>
      </c>
      <c r="BG1015" s="478" t="str">
        <f>_xlfn.XLOOKUP(PV_DATA[[#This Row],[New Ark SKU]],Table9[New Ark SKU],Table9[Back Glass],,0)</f>
        <v>White glazing</v>
      </c>
      <c r="BH1015" s="478" t="str">
        <f>_xlfn.XLOOKUP(PV_DATA[[#This Row],[PORT DESTINATION]],Table12[PORT DESTINATION],Table12[Cosco Line],,0)</f>
        <v>AEU</v>
      </c>
    </row>
    <row r="1016" spans="1:60" s="478" customFormat="1" ht="10.5" hidden="1">
      <c r="A1016" s="1171" t="s">
        <v>6598</v>
      </c>
      <c r="B1016" s="937" t="s">
        <v>61</v>
      </c>
      <c r="C1016" s="937" t="str">
        <f>IFERROR(LEFT(PV_DATA[[#This Row],[TCL REFERENCE]],FIND(".",PV_DATA[[#This Row],[TCL REFERENCE]],1)-1),"Main Line")</f>
        <v>26Aug004</v>
      </c>
      <c r="D1016" s="937" t="s">
        <v>63</v>
      </c>
      <c r="E1016" s="937" t="s">
        <v>64</v>
      </c>
      <c r="F1016" s="937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37" t="s">
        <v>402</v>
      </c>
      <c r="H1016" s="937" t="s">
        <v>67</v>
      </c>
      <c r="I1016" s="937" t="s">
        <v>6372</v>
      </c>
      <c r="J1016" s="478" t="s">
        <v>96</v>
      </c>
      <c r="M1016" s="478" t="s">
        <v>6273</v>
      </c>
      <c r="N1016" s="938">
        <v>46237</v>
      </c>
      <c r="O1016" s="478" t="s">
        <v>4526</v>
      </c>
      <c r="P1016" s="478" t="s">
        <v>1151</v>
      </c>
      <c r="Q1016" s="478" t="s">
        <v>421</v>
      </c>
      <c r="R1016" s="478" t="str">
        <f>_xlfn.XLOOKUP(PV_DATA[[#This Row],[New Ark SKU]],Table9[New Ark SKU],Table9[Connector],,0)</f>
        <v>EVO2A</v>
      </c>
      <c r="S1016" s="939" t="str">
        <f>_xlfn.XLOOKUP(PV_DATA[[#This Row],[New Ark SKU]],Table9[New Ark SKU],Table9[Cable],,0)</f>
        <v>±1200mm</v>
      </c>
      <c r="T1016" s="939">
        <v>505</v>
      </c>
      <c r="U1016" s="1222">
        <v>864</v>
      </c>
      <c r="V1016" s="940">
        <f>PV_DATA[[#This Row],[QUANTITY]]*PV_DATA[[#This Row],[WATT]]/1000000</f>
        <v>0.43631999999999999</v>
      </c>
      <c r="W1016" s="941">
        <f>PV_DATA[[#This Row],[QUANTITY]]/PV_DATA[[#This Row],[Qty/Pallet]]</f>
        <v>24</v>
      </c>
      <c r="X1016" s="1117">
        <f>PV_DATA[[#This Row],[QUANTITY]]/PV_DATA[[#This Row],[Qty/CT]]</f>
        <v>1</v>
      </c>
      <c r="Y1016" s="478" t="s">
        <v>2466</v>
      </c>
      <c r="Z1016" s="478" t="str">
        <f t="shared" si="18"/>
        <v>IN-TRANSIT</v>
      </c>
      <c r="AA1016" s="478" t="s">
        <v>6373</v>
      </c>
      <c r="AB1016" s="1187">
        <v>46258</v>
      </c>
      <c r="AC1016" s="945">
        <f>IF(PV_DATA[[#This Row],[Pick-Up Date]]&lt;&gt;"",_xlfn.ISOWEEKNUM(PV_DATA[[#This Row],[Pick-Up Date]]),"")</f>
        <v>35</v>
      </c>
      <c r="AD1016" s="478" t="s">
        <v>6599</v>
      </c>
      <c r="AF1016" s="949" t="s">
        <v>61</v>
      </c>
      <c r="AG1016" s="949" t="s">
        <v>61</v>
      </c>
      <c r="AH1016" s="478" t="s">
        <v>105</v>
      </c>
      <c r="AI1016" s="950">
        <v>46267</v>
      </c>
      <c r="AJ1016" s="944"/>
      <c r="AK1016" s="950">
        <v>46269</v>
      </c>
      <c r="AL1016" s="944">
        <v>46335</v>
      </c>
      <c r="AM1016" s="946"/>
      <c r="AN1016" s="946"/>
      <c r="AO1016" s="937" t="s">
        <v>402</v>
      </c>
      <c r="AP1016" s="478" t="s">
        <v>6595</v>
      </c>
      <c r="AQ1016" s="947" t="s">
        <v>161</v>
      </c>
      <c r="AR1016" s="478" t="s">
        <v>6596</v>
      </c>
      <c r="AS1016" s="478" t="s">
        <v>6597</v>
      </c>
      <c r="AT1016" s="478" t="s">
        <v>6597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44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44">
        <f>IF(ISERROR(PV_DATA[[#This Row],[New Ark PO status]]),"",_xlfn.XLOOKUP(PV_DATA[[#This Row],[SPTN-PVHK New Ark PO'#]],New_Ark_Data[Purchase order Number],New_Ark_Data[Estimated time of arrival],"",0))</f>
        <v>46342</v>
      </c>
      <c r="AZ101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4">
        <f>IFERROR(PV_DATA[[#This Row],[ODP ETA Port]]+PV_DATA[[#This Row],[Customs/Leg3 Assumption]],"n/a")</f>
        <v>46342</v>
      </c>
      <c r="BB1016" s="939">
        <f>YEAR(PV_DATA[[#This Row],[ETA for New Ark update]])</f>
        <v>2026</v>
      </c>
      <c r="BC1016" s="478">
        <f>MONTH(PV_DATA[[#This Row],[ETA for New Ark update]])</f>
        <v>11</v>
      </c>
      <c r="BD1016" s="478">
        <f>IFERROR(_xlfn.ISOWEEKNUM(PV_DATA[[#This Row],[ETA for New Ark update]]),0)</f>
        <v>47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864</v>
      </c>
      <c r="BG1016" s="478" t="str">
        <f>_xlfn.XLOOKUP(PV_DATA[[#This Row],[New Ark SKU]],Table9[New Ark SKU],Table9[Back Glass],,0)</f>
        <v>Black glazing</v>
      </c>
      <c r="BH1016" s="948" t="str">
        <f>_xlfn.XLOOKUP(PV_DATA[[#This Row],[PORT DESTINATION]],Table12[PORT DESTINATION],Table12[Cosco Line],,0)</f>
        <v>AEU</v>
      </c>
    </row>
    <row r="1017" spans="1:60" s="478" customFormat="1" ht="10.5" hidden="1">
      <c r="A1017" s="1171" t="s">
        <v>6600</v>
      </c>
      <c r="B1017" s="937" t="s">
        <v>111</v>
      </c>
      <c r="C1017" s="937" t="str">
        <f>IFERROR(LEFT(PV_DATA[[#This Row],[TCL REFERENCE]],FIND(".",PV_DATA[[#This Row],[TCL REFERENCE]],1)-1),"Main Line")</f>
        <v>26Aug002</v>
      </c>
      <c r="D1017" s="937" t="s">
        <v>63</v>
      </c>
      <c r="E1017" s="937" t="s">
        <v>64</v>
      </c>
      <c r="F1017" s="937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37" t="s">
        <v>402</v>
      </c>
      <c r="H1017" s="937" t="s">
        <v>67</v>
      </c>
      <c r="I1017" s="937" t="s">
        <v>689</v>
      </c>
      <c r="J1017" s="478" t="s">
        <v>96</v>
      </c>
      <c r="M1017" s="478" t="s">
        <v>6273</v>
      </c>
      <c r="N1017" s="938">
        <v>46215</v>
      </c>
      <c r="O1017" s="478" t="s">
        <v>550</v>
      </c>
      <c r="P1017" s="478" t="s">
        <v>2134</v>
      </c>
      <c r="Q1017" s="478" t="s">
        <v>2135</v>
      </c>
      <c r="R1017" s="478" t="str">
        <f>_xlfn.XLOOKUP(PV_DATA[[#This Row],[New Ark SKU]],Table9[New Ark SKU],Table9[Connector],,0)</f>
        <v>EVO2A</v>
      </c>
      <c r="S1017" s="939" t="str">
        <f>_xlfn.XLOOKUP(PV_DATA[[#This Row],[New Ark SKU]],Table9[New Ark SKU],Table9[Cable],,0)</f>
        <v>±1350mm</v>
      </c>
      <c r="T1017" s="939">
        <v>515</v>
      </c>
      <c r="U1017" s="1222">
        <f>792*3</f>
        <v>2376</v>
      </c>
      <c r="V1017" s="940">
        <f>PV_DATA[[#This Row],[QUANTITY]]*PV_DATA[[#This Row],[WATT]]/1000000</f>
        <v>1.2236400000000001</v>
      </c>
      <c r="W1017" s="941">
        <f>PV_DATA[[#This Row],[QUANTITY]]/PV_DATA[[#This Row],[Qty/Pallet]]</f>
        <v>66</v>
      </c>
      <c r="X1017" s="1117">
        <f>PV_DATA[[#This Row],[QUANTITY]]/PV_DATA[[#This Row],[Qty/CT]]</f>
        <v>3</v>
      </c>
      <c r="Y1017" s="478" t="s">
        <v>2467</v>
      </c>
      <c r="Z1017" s="478" t="str">
        <f t="shared" si="17"/>
        <v>IN-TRANSIT</v>
      </c>
      <c r="AB1017" s="944">
        <v>46268</v>
      </c>
      <c r="AC1017" s="945">
        <f>IF(PV_DATA[[#This Row],[Pick-Up Date]]&lt;&gt;"",_xlfn.ISOWEEKNUM(PV_DATA[[#This Row],[Pick-Up Date]]),"")</f>
        <v>36</v>
      </c>
      <c r="AD1017" s="478" t="s">
        <v>6601</v>
      </c>
      <c r="AF1017" s="478" t="s">
        <v>122</v>
      </c>
      <c r="AG1017" s="478" t="s">
        <v>123</v>
      </c>
      <c r="AH1017" s="478" t="s">
        <v>456</v>
      </c>
      <c r="AI1017" s="944">
        <v>46273</v>
      </c>
      <c r="AJ1017" s="944">
        <f>IFERROR(VLOOKUP(AT1017, Vessel!A:D, 4, FALSE), "")</f>
        <v>46274.083333333336</v>
      </c>
      <c r="AK1017" s="944">
        <f>IFERROR(IF(VLOOKUP(AT1017,Vessel!A:F,5,FALSE)=0,"",VLOOKUP(AT1017,Vessel!A:F,5,FALSE)),"")</f>
        <v>46274.103541666664</v>
      </c>
      <c r="AL1017" s="1272">
        <v>46313</v>
      </c>
      <c r="AM1017" s="1381">
        <f>IFERROR(VLOOKUP(AT1017, Vessel!A:H, 8, FALSE), "")</f>
        <v>46313.041666666664</v>
      </c>
      <c r="AN1017" s="946" t="str">
        <f>IFERROR(IF(VLOOKUP(AT1017,Vessel!A:I,9,FALSE)=0,"",VLOOKUP(AT1017,Vessel!A:I,9,FALSE)),"")</f>
        <v/>
      </c>
      <c r="AP1017" s="478" t="s">
        <v>6602</v>
      </c>
      <c r="AQ1017" s="947" t="s">
        <v>80</v>
      </c>
      <c r="AR1017" s="478" t="s">
        <v>6603</v>
      </c>
      <c r="AS1017" s="478" t="s">
        <v>6604</v>
      </c>
      <c r="AT1017" s="478" t="s">
        <v>6604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38.938125000000582</v>
      </c>
      <c r="AW1017" s="944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44" t="str">
        <f>IF(ISERROR(PV_DATA[[#This Row],[New Ark PO status]]),"",_xlfn.XLOOKUP(PV_DATA[[#This Row],[SPTN-PVHK New Ark PO'#]],New_Ark_Data[Purchase order Number],New_Ark_Data[Estimated time of arrival],"",0))</f>
        <v/>
      </c>
      <c r="AZ1017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44">
        <f>IFERROR(PV_DATA[[#This Row],[ODP ETA Port]]+PV_DATA[[#This Row],[Customs/Leg3 Assumption]],"n/a")</f>
        <v>46320.041666666664</v>
      </c>
      <c r="BB1017" s="939" t="s">
        <v>6273</v>
      </c>
      <c r="BC1017" s="939" t="s">
        <v>6273</v>
      </c>
      <c r="BD1017" s="478">
        <f>IFERROR(_xlfn.ISOWEEKNUM(PV_DATA[[#This Row],[ETA for New Ark update]]),0)</f>
        <v>43</v>
      </c>
      <c r="BE1017" s="478">
        <f>_xlfn.XLOOKUP(PV_DATA[[#This Row],[New Ark SKU]],Table9[New Ark SKU],Table9[Total PCS per Pallet],,0)</f>
        <v>36</v>
      </c>
      <c r="BF1017" s="478">
        <f>_xlfn.XLOOKUP(PV_DATA[[#This Row],[New Ark SKU]],Table9[New Ark SKU],Table9[Total PCS per 40HQ Container],,0)</f>
        <v>792</v>
      </c>
      <c r="BG1017" s="478" t="str">
        <f>_xlfn.XLOOKUP(PV_DATA[[#This Row],[New Ark SKU]],Table9[New Ark SKU],Table9[Back Glass],,0)</f>
        <v>Black glazing</v>
      </c>
      <c r="BH1017" s="948" t="str">
        <f>_xlfn.XLOOKUP(PV_DATA[[#This Row],[PORT DESTINATION]],Table12[PORT DESTINATION],Table12[Cosco Line],,0)</f>
        <v>AEU</v>
      </c>
    </row>
    <row r="1018" spans="1:60" s="478" customFormat="1" ht="10.5" hidden="1">
      <c r="A1018" s="1266" t="s">
        <v>6605</v>
      </c>
      <c r="B1018" s="1172" t="s">
        <v>111</v>
      </c>
      <c r="C1018" s="937" t="str">
        <f>IFERROR(LEFT(PV_DATA[[#This Row],[TCL REFERENCE]],FIND(".",PV_DATA[[#This Row],[TCL REFERENCE]],1)-1),"Main Line")</f>
        <v>26Aug009</v>
      </c>
      <c r="D1018" s="1172" t="s">
        <v>113</v>
      </c>
      <c r="E1018" s="937" t="s">
        <v>144</v>
      </c>
      <c r="F1018" s="117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7" t="s">
        <v>402</v>
      </c>
      <c r="H1018" s="937" t="s">
        <v>670</v>
      </c>
      <c r="I1018" s="937" t="s">
        <v>6206</v>
      </c>
      <c r="J1018" s="937" t="s">
        <v>670</v>
      </c>
      <c r="K1018" s="478" t="s">
        <v>6238</v>
      </c>
      <c r="L1018" s="1179">
        <v>33</v>
      </c>
      <c r="M1018" s="478" t="s">
        <v>4962</v>
      </c>
      <c r="N1018" s="1189"/>
      <c r="O1018" s="1179" t="s">
        <v>4526</v>
      </c>
      <c r="P1018" s="1179" t="s">
        <v>6466</v>
      </c>
      <c r="Q1018" s="1179" t="s">
        <v>103</v>
      </c>
      <c r="R1018" s="1179" t="str">
        <f>_xlfn.XLOOKUP(PV_DATA[[#This Row],[New Ark SKU]],Table9[New Ark SKU],Table9[Connector],,0)</f>
        <v>H4(Com)</v>
      </c>
      <c r="S1018" s="1180" t="str">
        <f>_xlfn.XLOOKUP(PV_DATA[[#This Row],[New Ark SKU]],Table9[New Ark SKU],Table9[Cable],,0)</f>
        <v>+400mm/-200mm</v>
      </c>
      <c r="T1018" s="1180">
        <v>620</v>
      </c>
      <c r="U1018" s="1223">
        <f>720*11</f>
        <v>7920</v>
      </c>
      <c r="V1018" s="1181">
        <f>PV_DATA[[#This Row],[QUANTITY]]*PV_DATA[[#This Row],[WATT]]/1000000</f>
        <v>4.9104000000000001</v>
      </c>
      <c r="W1018" s="941">
        <f>PV_DATA[[#This Row],[QUANTITY]]/36</f>
        <v>220</v>
      </c>
      <c r="X1018" s="1357">
        <f>PV_DATA[[#This Row],[QUANTITY]]/PV_DATA[[#This Row],[Qty/CT]]</f>
        <v>11</v>
      </c>
      <c r="Y1018" s="478" t="s">
        <v>2467</v>
      </c>
      <c r="Z1018" s="478" t="str">
        <f>IF(AN1018&lt;&gt;"","COMPLETED",IF(AK1018&lt;&gt;"","IN-TRANSIT",""))</f>
        <v>IN-TRANSIT</v>
      </c>
      <c r="AA1018" s="1182">
        <v>46271</v>
      </c>
      <c r="AB1018" s="1183">
        <v>46273</v>
      </c>
      <c r="AC1018" s="1190">
        <f>IF(PV_DATA[[#This Row],[Pick-Up Date]]&lt;&gt;"",_xlfn.ISOWEEKNUM(PV_DATA[[#This Row],[Pick-Up Date]]),"")</f>
        <v>37</v>
      </c>
      <c r="AD1018" s="1179" t="s">
        <v>6606</v>
      </c>
      <c r="AE1018" s="1179"/>
      <c r="AF1018" s="1179" t="s">
        <v>122</v>
      </c>
      <c r="AG1018" s="1179" t="s">
        <v>122</v>
      </c>
      <c r="AH1018" s="478" t="s">
        <v>105</v>
      </c>
      <c r="AI1018" s="1183">
        <v>46278</v>
      </c>
      <c r="AJ1018" s="1183">
        <f>IFERROR(VLOOKUP(AT1018, Vessel!A:D, 4, FALSE), "")</f>
        <v>46278.708333333336</v>
      </c>
      <c r="AK1018" s="944">
        <f>IFERROR(IF(VLOOKUP(AT1018,Vessel!A:F,5,FALSE)=0,"",VLOOKUP(AT1018,Vessel!A:F,5,FALSE)),"")</f>
        <v>46278.586898148147</v>
      </c>
      <c r="AL1018" s="1183">
        <v>46313</v>
      </c>
      <c r="AM1018" s="1191">
        <f>IFERROR(VLOOKUP(AT1018, Vessel!A:H, 8, FALSE), "")</f>
        <v>46314.833333333336</v>
      </c>
      <c r="AN1018" s="946" t="str">
        <f>IFERROR(IF(VLOOKUP(AT1018,Vessel!A:I,9,FALSE)=0,"",VLOOKUP(AT1018,Vessel!A:I,9,FALSE)),"")</f>
        <v/>
      </c>
      <c r="AO1018" s="1179"/>
      <c r="AP1018" s="478" t="s">
        <v>6575</v>
      </c>
      <c r="AQ1018" s="987" t="s">
        <v>80</v>
      </c>
      <c r="AR1018" s="478" t="s">
        <v>6607</v>
      </c>
      <c r="AS1018" s="478" t="s">
        <v>6608</v>
      </c>
      <c r="AT1018" s="478" t="s">
        <v>6608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36.246435185188602</v>
      </c>
      <c r="AV1018" s="1179"/>
      <c r="AW1018" s="118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83" t="str">
        <f>IF(ISERROR(PV_DATA[[#This Row],[New Ark PO status]]),"",_xlfn.XLOOKUP(PV_DATA[[#This Row],[SPTN-PVHK New Ark PO'#]],New_Ark_Data[Purchase order Number],New_Ark_Data[Estimated time of arrival],"",0))</f>
        <v/>
      </c>
      <c r="AZ1018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83">
        <f>IFERROR(PV_DATA[[#This Row],[ODP ETA Port]]+PV_DATA[[#This Row],[Customs/Leg3 Assumption]],"n/a")</f>
        <v>46314.833333333336</v>
      </c>
      <c r="BB1018" s="1180">
        <f>YEAR(PV_DATA[[#This Row],[ETA for New Ark update]])</f>
        <v>2026</v>
      </c>
      <c r="BC1018" s="1179">
        <f>MONTH(PV_DATA[[#This Row],[ETA for New Ark update]])</f>
        <v>10</v>
      </c>
      <c r="BD1018" s="1179">
        <f>IFERROR(_xlfn.ISOWEEKNUM(PV_DATA[[#This Row],[ETA for New Ark update]]),0)</f>
        <v>43</v>
      </c>
      <c r="BE1018" s="1179">
        <f>_xlfn.XLOOKUP(PV_DATA[[#This Row],[New Ark SKU]],Table9[New Ark SKU],Table9[Total PCS per Pallet],,0)</f>
        <v>36</v>
      </c>
      <c r="BF1018" s="1179">
        <f>_xlfn.XLOOKUP(PV_DATA[[#This Row],[New Ark SKU]],Table9[New Ark SKU],Table9[Total PCS per 40HQ Container],,0)</f>
        <v>720</v>
      </c>
      <c r="BG1018" s="1179" t="str">
        <f>_xlfn.XLOOKUP(PV_DATA[[#This Row],[New Ark SKU]],Table9[New Ark SKU],Table9[Back Glass],,0)</f>
        <v>Redirection Film</v>
      </c>
      <c r="BH1018" s="1192" t="str">
        <f>_xlfn.XLOOKUP(PV_DATA[[#This Row],[PORT DESTINATION]],Table12[PORT DESTINATION],Table12[Cosco Line],,0)</f>
        <v>AEU</v>
      </c>
    </row>
    <row r="1019" spans="1:60" s="478" customFormat="1" ht="10.5" hidden="1">
      <c r="A1019" s="1266" t="s">
        <v>6609</v>
      </c>
      <c r="B1019" s="1172" t="s">
        <v>111</v>
      </c>
      <c r="C1019" s="937" t="str">
        <f>IFERROR(LEFT(PV_DATA[[#This Row],[TCL REFERENCE]],FIND(".",PV_DATA[[#This Row],[TCL REFERENCE]],1)-1),"Main Line")</f>
        <v>26Aug009</v>
      </c>
      <c r="D1019" s="1172" t="s">
        <v>113</v>
      </c>
      <c r="E1019" s="937" t="s">
        <v>144</v>
      </c>
      <c r="F1019" s="117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7" t="s">
        <v>402</v>
      </c>
      <c r="H1019" s="937" t="s">
        <v>670</v>
      </c>
      <c r="I1019" s="937" t="s">
        <v>6206</v>
      </c>
      <c r="J1019" s="937" t="s">
        <v>670</v>
      </c>
      <c r="K1019" s="478" t="s">
        <v>6238</v>
      </c>
      <c r="L1019" s="1179">
        <v>28</v>
      </c>
      <c r="M1019" s="478" t="s">
        <v>4962</v>
      </c>
      <c r="N1019" s="1189"/>
      <c r="O1019" s="1179" t="s">
        <v>4526</v>
      </c>
      <c r="P1019" s="1179" t="s">
        <v>6466</v>
      </c>
      <c r="Q1019" s="1179" t="s">
        <v>103</v>
      </c>
      <c r="R1019" s="1179" t="str">
        <f>_xlfn.XLOOKUP(PV_DATA[[#This Row],[New Ark SKU]],Table9[New Ark SKU],Table9[Connector],,0)</f>
        <v>H4(Com)</v>
      </c>
      <c r="S1019" s="1180" t="str">
        <f>_xlfn.XLOOKUP(PV_DATA[[#This Row],[New Ark SKU]],Table9[New Ark SKU],Table9[Cable],,0)</f>
        <v>+400mm/-200mm</v>
      </c>
      <c r="T1019" s="1180">
        <v>620</v>
      </c>
      <c r="U1019" s="1223">
        <v>3600</v>
      </c>
      <c r="V1019" s="1181">
        <f>PV_DATA[[#This Row],[QUANTITY]]*PV_DATA[[#This Row],[WATT]]/1000000</f>
        <v>2.2320000000000002</v>
      </c>
      <c r="W1019" s="941">
        <f>PV_DATA[[#This Row],[QUANTITY]]/36</f>
        <v>100</v>
      </c>
      <c r="X1019" s="1357">
        <f>PV_DATA[[#This Row],[QUANTITY]]/PV_DATA[[#This Row],[Qty/CT]]</f>
        <v>5</v>
      </c>
      <c r="Y1019" s="478" t="s">
        <v>2467</v>
      </c>
      <c r="Z1019" s="478" t="str">
        <f>IF(AN1019&lt;&gt;"","COMPLETED",IF(AK1019&lt;&gt;"","IN-TRANSIT",""))</f>
        <v>IN-TRANSIT</v>
      </c>
      <c r="AA1019" s="1182">
        <v>46266</v>
      </c>
      <c r="AB1019" s="1183">
        <v>46268</v>
      </c>
      <c r="AC1019" s="1190">
        <f>IF(PV_DATA[[#This Row],[Pick-Up Date]]&lt;&gt;"",_xlfn.ISOWEEKNUM(PV_DATA[[#This Row],[Pick-Up Date]]),"")</f>
        <v>36</v>
      </c>
      <c r="AD1019" s="1179" t="s">
        <v>6610</v>
      </c>
      <c r="AE1019" s="1179"/>
      <c r="AF1019" s="1179" t="s">
        <v>122</v>
      </c>
      <c r="AG1019" s="1179" t="s">
        <v>122</v>
      </c>
      <c r="AH1019" s="478" t="s">
        <v>105</v>
      </c>
      <c r="AI1019" s="1183">
        <v>46272</v>
      </c>
      <c r="AJ1019" s="1183">
        <f>IFERROR(VLOOKUP(AT1019, Vessel!A:D, 4, FALSE), "")</f>
        <v>46277.8125</v>
      </c>
      <c r="AK1019" s="944">
        <f>IFERROR(IF(VLOOKUP(AT1019,Vessel!A:F,5,FALSE)=0,"",VLOOKUP(AT1019,Vessel!A:F,5,FALSE)),"")</f>
        <v>46277.716585648152</v>
      </c>
      <c r="AL1019" s="1183">
        <v>46309</v>
      </c>
      <c r="AM1019" s="1191">
        <f>IFERROR(VLOOKUP(AT1019, Vessel!A:H, 8, FALSE), "")</f>
        <v>46316.875</v>
      </c>
      <c r="AN1019" s="946" t="str">
        <f>IFERROR(IF(VLOOKUP(AT1019,Vessel!A:I,9,FALSE)=0,"",VLOOKUP(AT1019,Vessel!A:I,9,FALSE)),"")</f>
        <v/>
      </c>
      <c r="AO1019" s="1179"/>
      <c r="AP1019" s="1179" t="s">
        <v>6611</v>
      </c>
      <c r="AQ1019" s="987" t="s">
        <v>80</v>
      </c>
      <c r="AR1019" s="1179" t="s">
        <v>6612</v>
      </c>
      <c r="AS1019" s="1179" t="s">
        <v>6613</v>
      </c>
      <c r="AT1019" s="478" t="s">
        <v>6613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39.158414351848478</v>
      </c>
      <c r="AV1019" s="1179"/>
      <c r="AW1019" s="118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46316.875</v>
      </c>
      <c r="AX101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83" t="str">
        <f>IF(ISERROR(PV_DATA[[#This Row],[New Ark PO status]]),"",_xlfn.XLOOKUP(PV_DATA[[#This Row],[SPTN-PVHK New Ark PO'#]],New_Ark_Data[Purchase order Number],New_Ark_Data[Estimated time of arrival],"",0))</f>
        <v/>
      </c>
      <c r="AZ1019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83">
        <f>IFERROR(PV_DATA[[#This Row],[ODP ETA Port]]+PV_DATA[[#This Row],[Customs/Leg3 Assumption]],"n/a")</f>
        <v>46316.875</v>
      </c>
      <c r="BB1019" s="1180">
        <f>YEAR(PV_DATA[[#This Row],[ETA for New Ark update]])</f>
        <v>2026</v>
      </c>
      <c r="BC1019" s="1179">
        <f>MONTH(PV_DATA[[#This Row],[ETA for New Ark update]])</f>
        <v>10</v>
      </c>
      <c r="BD1019" s="1179">
        <f>IFERROR(_xlfn.ISOWEEKNUM(PV_DATA[[#This Row],[ETA for New Ark update]]),0)</f>
        <v>43</v>
      </c>
      <c r="BE1019" s="1179">
        <f>_xlfn.XLOOKUP(PV_DATA[[#This Row],[New Ark SKU]],Table9[New Ark SKU],Table9[Total PCS per Pallet],,0)</f>
        <v>36</v>
      </c>
      <c r="BF1019" s="1179">
        <f>_xlfn.XLOOKUP(PV_DATA[[#This Row],[New Ark SKU]],Table9[New Ark SKU],Table9[Total PCS per 40HQ Container],,0)</f>
        <v>720</v>
      </c>
      <c r="BG1019" s="1179" t="str">
        <f>_xlfn.XLOOKUP(PV_DATA[[#This Row],[New Ark SKU]],Table9[New Ark SKU],Table9[Back Glass],,0)</f>
        <v>Redirection Film</v>
      </c>
      <c r="BH1019" s="1192" t="str">
        <f>_xlfn.XLOOKUP(PV_DATA[[#This Row],[PORT DESTINATION]],Table12[PORT DESTINATION],Table12[Cosco Line],,0)</f>
        <v>AEU</v>
      </c>
    </row>
    <row r="1020" spans="1:60" s="478" customFormat="1" ht="10.5" hidden="1">
      <c r="A1020" s="1266" t="s">
        <v>6614</v>
      </c>
      <c r="B1020" s="1172" t="s">
        <v>111</v>
      </c>
      <c r="C1020" s="937" t="str">
        <f>IFERROR(LEFT(PV_DATA[[#This Row],[TCL REFERENCE]],FIND(".",PV_DATA[[#This Row],[TCL REFERENCE]],1)-1),"Main Line")</f>
        <v>26Aug009</v>
      </c>
      <c r="D1020" s="1172" t="s">
        <v>113</v>
      </c>
      <c r="E1020" s="937" t="s">
        <v>144</v>
      </c>
      <c r="F1020" s="117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37" t="s">
        <v>402</v>
      </c>
      <c r="H1020" s="937" t="s">
        <v>670</v>
      </c>
      <c r="I1020" s="937" t="s">
        <v>6206</v>
      </c>
      <c r="J1020" s="937" t="s">
        <v>670</v>
      </c>
      <c r="K1020" s="478" t="s">
        <v>5887</v>
      </c>
      <c r="L1020" s="1179">
        <v>29</v>
      </c>
      <c r="M1020" s="478" t="s">
        <v>4962</v>
      </c>
      <c r="N1020" s="1189"/>
      <c r="O1020" s="1179" t="s">
        <v>4526</v>
      </c>
      <c r="P1020" s="1179" t="s">
        <v>6466</v>
      </c>
      <c r="Q1020" s="1179" t="s">
        <v>103</v>
      </c>
      <c r="R1020" s="1179" t="str">
        <f>_xlfn.XLOOKUP(PV_DATA[[#This Row],[New Ark SKU]],Table9[New Ark SKU],Table9[Connector],,0)</f>
        <v>H4(Com)</v>
      </c>
      <c r="S1020" s="1180" t="str">
        <f>_xlfn.XLOOKUP(PV_DATA[[#This Row],[New Ark SKU]],Table9[New Ark SKU],Table9[Cable],,0)</f>
        <v>+400mm/-200mm</v>
      </c>
      <c r="T1020" s="1180">
        <v>620</v>
      </c>
      <c r="U1020" s="1223">
        <v>5760</v>
      </c>
      <c r="V1020" s="1181">
        <f>PV_DATA[[#This Row],[QUANTITY]]*PV_DATA[[#This Row],[WATT]]/1000000</f>
        <v>3.5712000000000002</v>
      </c>
      <c r="W1020" s="941">
        <f>PV_DATA[[#This Row],[QUANTITY]]/36</f>
        <v>160</v>
      </c>
      <c r="X1020" s="1357">
        <f>PV_DATA[[#This Row],[QUANTITY]]/PV_DATA[[#This Row],[Qty/CT]]</f>
        <v>8</v>
      </c>
      <c r="Y1020" s="478" t="s">
        <v>2467</v>
      </c>
      <c r="Z1020" s="478" t="str">
        <f>IF(AN1020&lt;&gt;"","COMPLETED",IF(AK1020&lt;&gt;"","IN-TRANSIT",""))</f>
        <v>IN-TRANSIT</v>
      </c>
      <c r="AA1020" s="1182">
        <v>46269</v>
      </c>
      <c r="AB1020" s="1183">
        <v>46270</v>
      </c>
      <c r="AC1020" s="1190">
        <f>IF(PV_DATA[[#This Row],[Pick-Up Date]]&lt;&gt;"",_xlfn.ISOWEEKNUM(PV_DATA[[#This Row],[Pick-Up Date]]),"")</f>
        <v>36</v>
      </c>
      <c r="AD1020" s="1179" t="s">
        <v>6615</v>
      </c>
      <c r="AE1020" s="1179"/>
      <c r="AF1020" s="1179" t="s">
        <v>122</v>
      </c>
      <c r="AG1020" s="1179" t="s">
        <v>122</v>
      </c>
      <c r="AH1020" s="478" t="s">
        <v>105</v>
      </c>
      <c r="AI1020" s="1183">
        <v>46275</v>
      </c>
      <c r="AJ1020" s="1183">
        <f>IFERROR(VLOOKUP(AT1020, Vessel!A:D, 4, FALSE), "")</f>
        <v>46276.520833333336</v>
      </c>
      <c r="AK1020" s="944">
        <f>IFERROR(IF(VLOOKUP(AT1020,Vessel!A:F,5,FALSE)=0,"",VLOOKUP(AT1020,Vessel!A:F,5,FALSE)),"")</f>
        <v>46276.53597222222</v>
      </c>
      <c r="AL1020" s="1183">
        <v>46319</v>
      </c>
      <c r="AM1020" s="1191">
        <f>IFERROR(VLOOKUP(AT1020, Vessel!A:H, 8, FALSE), "")</f>
        <v>46320.395833333336</v>
      </c>
      <c r="AN1020" s="946" t="str">
        <f>IFERROR(IF(VLOOKUP(AT1020,Vessel!A:I,9,FALSE)=0,"",VLOOKUP(AT1020,Vessel!A:I,9,FALSE)),"")</f>
        <v/>
      </c>
      <c r="AO1020" s="1179"/>
      <c r="AP1020" s="1179" t="s">
        <v>6616</v>
      </c>
      <c r="AQ1020" s="987" t="s">
        <v>80</v>
      </c>
      <c r="AR1020" s="1179" t="s">
        <v>6617</v>
      </c>
      <c r="AS1020" s="1179" t="s">
        <v>6618</v>
      </c>
      <c r="AT1020" s="478" t="s">
        <v>6618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43.859861111115606</v>
      </c>
      <c r="AV1020" s="1179"/>
      <c r="AW1020" s="1183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46320.395833333336</v>
      </c>
      <c r="AX102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83" t="str">
        <f>IF(ISERROR(PV_DATA[[#This Row],[New Ark PO status]]),"",_xlfn.XLOOKUP(PV_DATA[[#This Row],[SPTN-PVHK New Ark PO'#]],New_Ark_Data[Purchase order Number],New_Ark_Data[Estimated time of arrival],"",0))</f>
        <v/>
      </c>
      <c r="AZ1020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83">
        <f>IFERROR(PV_DATA[[#This Row],[ODP ETA Port]]+PV_DATA[[#This Row],[Customs/Leg3 Assumption]],"n/a")</f>
        <v>46320.395833333336</v>
      </c>
      <c r="BB1020" s="1180">
        <f>YEAR(PV_DATA[[#This Row],[ETA for New Ark update]])</f>
        <v>2026</v>
      </c>
      <c r="BC1020" s="1179">
        <f>MONTH(PV_DATA[[#This Row],[ETA for New Ark update]])</f>
        <v>10</v>
      </c>
      <c r="BD1020" s="1179">
        <f>IFERROR(_xlfn.ISOWEEKNUM(PV_DATA[[#This Row],[ETA for New Ark update]]),0)</f>
        <v>43</v>
      </c>
      <c r="BE1020" s="1179">
        <f>_xlfn.XLOOKUP(PV_DATA[[#This Row],[New Ark SKU]],Table9[New Ark SKU],Table9[Total PCS per Pallet],,0)</f>
        <v>36</v>
      </c>
      <c r="BF1020" s="1179">
        <f>_xlfn.XLOOKUP(PV_DATA[[#This Row],[New Ark SKU]],Table9[New Ark SKU],Table9[Total PCS per 40HQ Container],,0)</f>
        <v>720</v>
      </c>
      <c r="BG1020" s="1179" t="str">
        <f>_xlfn.XLOOKUP(PV_DATA[[#This Row],[New Ark SKU]],Table9[New Ark SKU],Table9[Back Glass],,0)</f>
        <v>Redirection Film</v>
      </c>
      <c r="BH1020" s="1192" t="str">
        <f>_xlfn.XLOOKUP(PV_DATA[[#This Row],[PORT DESTINATION]],Table12[PORT DESTINATION],Table12[Cosco Line],,0)</f>
        <v>AEU</v>
      </c>
    </row>
    <row r="1021" spans="1:60" s="478" customFormat="1" ht="10.5" hidden="1">
      <c r="A1021" s="1264" t="s">
        <v>6619</v>
      </c>
      <c r="B1021" s="937" t="s">
        <v>111</v>
      </c>
      <c r="C1021" s="937" t="str">
        <f>IFERROR(LEFT(PV_DATA[[#This Row],[TCL REFERENCE]],FIND(".",PV_DATA[[#This Row],[TCL REFERENCE]],1)-1),"Main Line")</f>
        <v>26Aug019</v>
      </c>
      <c r="D1021" s="937" t="s">
        <v>63</v>
      </c>
      <c r="E1021" s="937" t="s">
        <v>64</v>
      </c>
      <c r="F1021" s="937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7" t="s">
        <v>402</v>
      </c>
      <c r="H1021" s="937" t="s">
        <v>67</v>
      </c>
      <c r="I1021" s="937" t="s">
        <v>689</v>
      </c>
      <c r="J1021" s="478" t="s">
        <v>96</v>
      </c>
      <c r="M1021" s="478" t="s">
        <v>6273</v>
      </c>
      <c r="N1021" s="938">
        <v>46238</v>
      </c>
      <c r="O1021" s="478" t="s">
        <v>132</v>
      </c>
      <c r="P1021" s="478" t="s">
        <v>189</v>
      </c>
      <c r="Q1021" s="478" t="s">
        <v>190</v>
      </c>
      <c r="R1021" s="478" t="str">
        <f>_xlfn.XLOOKUP(PV_DATA[[#This Row],[New Ark SKU]],Table9[New Ark SKU],Table9[Connector],,0)</f>
        <v>EVO2A</v>
      </c>
      <c r="S1021" s="939" t="str">
        <f>_xlfn.XLOOKUP(PV_DATA[[#This Row],[New Ark SKU]],Table9[New Ark SKU],Table9[Cable],,0)</f>
        <v>±1200mm</v>
      </c>
      <c r="T1021" s="939">
        <v>465</v>
      </c>
      <c r="U1021" s="1222">
        <v>3456</v>
      </c>
      <c r="V1021" s="943">
        <f>PV_DATA[[#This Row],[QUANTITY]]*PV_DATA[[#This Row],[WATT]]/1000000</f>
        <v>1.60704</v>
      </c>
      <c r="W1021" s="941">
        <f>PV_DATA[[#This Row],[QUANTITY]]/PV_DATA[[#This Row],[Qty/Pallet]]</f>
        <v>96</v>
      </c>
      <c r="X1021" s="1117">
        <f>PV_DATA[[#This Row],[QUANTITY]]/PV_DATA[[#This Row],[Qty/CT]]</f>
        <v>4</v>
      </c>
      <c r="Y1021" s="478" t="s">
        <v>2467</v>
      </c>
      <c r="AA1021" s="478" t="s">
        <v>5848</v>
      </c>
      <c r="AB1021" s="944">
        <v>46269</v>
      </c>
      <c r="AC1021" s="945"/>
      <c r="AD1021" s="478" t="s">
        <v>6620</v>
      </c>
      <c r="AF1021" s="478" t="s">
        <v>122</v>
      </c>
      <c r="AG1021" s="478" t="s">
        <v>123</v>
      </c>
      <c r="AH1021" s="478" t="s">
        <v>78</v>
      </c>
      <c r="AI1021" s="944">
        <v>46277</v>
      </c>
      <c r="AJ1021" s="944">
        <f>IFERROR(VLOOKUP(AT1021, Vessel!A:D, 4, FALSE), "")</f>
        <v>46277.791666666664</v>
      </c>
      <c r="AK1021" s="944">
        <f>IFERROR(IF(VLOOKUP(AT1021,Vessel!A:F,5,FALSE)=0,"",VLOOKUP(AT1021,Vessel!A:F,5,FALSE)),"")</f>
        <v>46277.833090277774</v>
      </c>
      <c r="AL1021" s="944">
        <v>46316</v>
      </c>
      <c r="AM1021" s="944"/>
      <c r="AN1021" s="944"/>
      <c r="AP1021" s="478" t="s">
        <v>6621</v>
      </c>
      <c r="AQ1021" s="478" t="s">
        <v>80</v>
      </c>
      <c r="AR1021" s="1179" t="s">
        <v>6622</v>
      </c>
      <c r="AS1021" s="478" t="s">
        <v>6623</v>
      </c>
      <c r="AT1021" s="478" t="s">
        <v>6623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38.166909722225682</v>
      </c>
      <c r="AV1021" s="944"/>
      <c r="AW1021" s="944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4" t="str">
        <f>IF(ISERROR(PV_DATA[[#This Row],[New Ark PO status]]),"",_xlfn.XLOOKUP(PV_DATA[[#This Row],[SPTN-PVHK New Ark PO'#]],New_Ark_Data[Purchase order Number],New_Ark_Data[Estimated time of arrival],"",0))</f>
        <v/>
      </c>
      <c r="AZ1021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4">
        <f>IFERROR(PV_DATA[[#This Row],[ODP ETA Port]]+PV_DATA[[#This Row],[Customs/Leg3 Assumption]],"n/a")</f>
        <v>46324</v>
      </c>
      <c r="BB1021" s="939">
        <f>YEAR(PV_DATA[[#This Row],[ETA for New Ark update]])</f>
        <v>2026</v>
      </c>
      <c r="BC1021" s="478">
        <f>MONTH(PV_DATA[[#This Row],[ETA for New Ark update]])</f>
        <v>10</v>
      </c>
      <c r="BD1021" s="478">
        <f>IFERROR(_xlfn.ISOWEEKNUM(PV_DATA[[#This Row],[ETA for New Ark update]]),0)</f>
        <v>44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White glazing</v>
      </c>
      <c r="BH1021" s="478" t="str">
        <f>_xlfn.XLOOKUP(PV_DATA[[#This Row],[PORT DESTINATION]],Table12[PORT DESTINATION],Table12[Cosco Line],,0)</f>
        <v>AEM</v>
      </c>
    </row>
    <row r="1022" spans="1:60" s="478" customFormat="1" ht="10.5" hidden="1">
      <c r="A1022" s="1264" t="s">
        <v>6624</v>
      </c>
      <c r="B1022" s="937" t="s">
        <v>6625</v>
      </c>
      <c r="C1022" s="937" t="str">
        <f>IFERROR(LEFT(PV_DATA[[#This Row],[TCL REFERENCE]],FIND(".",PV_DATA[[#This Row],[TCL REFERENCE]],1)-1),"Main Line")</f>
        <v>26Aug005</v>
      </c>
      <c r="D1022" s="937" t="s">
        <v>63</v>
      </c>
      <c r="E1022" s="937" t="s">
        <v>64</v>
      </c>
      <c r="F1022" s="937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7" t="s">
        <v>402</v>
      </c>
      <c r="H1022" s="937" t="s">
        <v>67</v>
      </c>
      <c r="I1022" s="937" t="s">
        <v>689</v>
      </c>
      <c r="J1022" s="478" t="s">
        <v>96</v>
      </c>
      <c r="M1022" s="478" t="s">
        <v>6273</v>
      </c>
      <c r="N1022" s="938">
        <v>46258</v>
      </c>
      <c r="O1022" s="478" t="s">
        <v>4526</v>
      </c>
      <c r="P1022" s="478" t="s">
        <v>706</v>
      </c>
      <c r="Q1022" s="478" t="s">
        <v>707</v>
      </c>
      <c r="R1022" s="478" t="str">
        <f>_xlfn.XLOOKUP(PV_DATA[[#This Row],[New Ark SKU]],Table9[New Ark SKU],Table9[Connector],,0)</f>
        <v>EVO2A</v>
      </c>
      <c r="S1022" s="939" t="str">
        <f>_xlfn.XLOOKUP(PV_DATA[[#This Row],[New Ark SKU]],Table9[New Ark SKU],Table9[Cable],,0)</f>
        <v>±1200mm</v>
      </c>
      <c r="T1022" s="939">
        <v>500</v>
      </c>
      <c r="U1022" s="1222">
        <f>864*5</f>
        <v>4320</v>
      </c>
      <c r="V1022" s="940">
        <f>PV_DATA[[#This Row],[QUANTITY]]*PV_DATA[[#This Row],[WATT]]/1000000</f>
        <v>2.16</v>
      </c>
      <c r="W1022" s="941">
        <f>PV_DATA[[#This Row],[QUANTITY]]/PV_DATA[[#This Row],[Qty/Pallet]]</f>
        <v>120</v>
      </c>
      <c r="X1022" s="1117">
        <f>PV_DATA[[#This Row],[QUANTITY]]/PV_DATA[[#This Row],[Qty/CT]]</f>
        <v>5</v>
      </c>
      <c r="Y1022" s="478" t="s">
        <v>2468</v>
      </c>
      <c r="Z1022" s="478" t="str">
        <f>IF(AN1022&lt;&gt;"","COMPLETED",IF(AK1022&lt;&gt;"","IN-TRANSIT",""))</f>
        <v/>
      </c>
      <c r="AA1022" s="478" t="s">
        <v>6626</v>
      </c>
      <c r="AB1022" s="944">
        <v>46275</v>
      </c>
      <c r="AC1022" s="945">
        <f>IF(PV_DATA[[#This Row],[Pick-Up Date]]&lt;&gt;"",_xlfn.ISOWEEKNUM(PV_DATA[[#This Row],[Pick-Up Date]]),"")</f>
        <v>37</v>
      </c>
      <c r="AD1022" s="478" t="s">
        <v>6627</v>
      </c>
      <c r="AF1022" s="949" t="s">
        <v>122</v>
      </c>
      <c r="AG1022" s="949" t="s">
        <v>123</v>
      </c>
      <c r="AH1022" s="478" t="s">
        <v>78</v>
      </c>
      <c r="AI1022" s="944">
        <v>46280</v>
      </c>
      <c r="AJ1022" s="944">
        <f>IFERROR(VLOOKUP(AT1022, Vessel!A:D, 4, FALSE), "")</f>
        <v>46283.604166666664</v>
      </c>
      <c r="AK1022" s="944" t="str">
        <f>IFERROR(IF(VLOOKUP(AT1022,Vessel!A:F,5,FALSE)=0,"",VLOOKUP(AT1022,Vessel!A:F,5,FALSE)),"")</f>
        <v/>
      </c>
      <c r="AL1022" s="944">
        <v>46328</v>
      </c>
      <c r="AM1022" s="946">
        <f>IFERROR(VLOOKUP(AT1022, Vessel!A:H, 8, FALSE), "")</f>
        <v>46328.791666666664</v>
      </c>
      <c r="AN1022" s="946" t="str">
        <f>IFERROR(IF(VLOOKUP(AT1022,Vessel!A:I,9,FALSE)=0,"",VLOOKUP(AT1022,Vessel!A:I,9,FALSE)),"")</f>
        <v/>
      </c>
      <c r="AP1022" s="478" t="s">
        <v>6628</v>
      </c>
      <c r="AQ1022" s="947" t="s">
        <v>80</v>
      </c>
      <c r="AR1022" s="1179" t="s">
        <v>6629</v>
      </c>
      <c r="AS1022" s="478" t="s">
        <v>6630</v>
      </c>
      <c r="AT1022" s="478" t="s">
        <v>6630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2" s="944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4" t="str">
        <f>IF(ISERROR(PV_DATA[[#This Row],[New Ark PO status]]),"",_xlfn.XLOOKUP(PV_DATA[[#This Row],[SPTN-PVHK New Ark PO'#]],New_Ark_Data[Purchase order Number],New_Ark_Data[Estimated time of arrival],"",0))</f>
        <v/>
      </c>
      <c r="AZ1022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4">
        <f>IFERROR(PV_DATA[[#This Row],[ODP ETA Port]]+PV_DATA[[#This Row],[Customs/Leg3 Assumption]],"n/a")</f>
        <v>46336.791666666664</v>
      </c>
      <c r="BB1022" s="939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8" t="str">
        <f>_xlfn.XLOOKUP(PV_DATA[[#This Row],[PORT DESTINATION]],Table12[PORT DESTINATION],Table12[Cosco Line],,0)</f>
        <v>AEM</v>
      </c>
    </row>
    <row r="1023" spans="1:60" s="478" customFormat="1" ht="10.5" hidden="1">
      <c r="A1023" s="1264" t="s">
        <v>6631</v>
      </c>
      <c r="B1023" s="937" t="s">
        <v>6632</v>
      </c>
      <c r="C1023" s="937" t="str">
        <f>IFERROR(LEFT(PV_DATA[[#This Row],[TCL REFERENCE]],FIND(".",PV_DATA[[#This Row],[TCL REFERENCE]],1)-1),"Main Line")</f>
        <v>26Aug006</v>
      </c>
      <c r="D1023" s="937" t="s">
        <v>63</v>
      </c>
      <c r="E1023" s="937" t="s">
        <v>64</v>
      </c>
      <c r="F1023" s="937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37" t="s">
        <v>402</v>
      </c>
      <c r="H1023" s="937" t="s">
        <v>67</v>
      </c>
      <c r="I1023" s="937" t="s">
        <v>689</v>
      </c>
      <c r="J1023" s="478" t="s">
        <v>96</v>
      </c>
      <c r="M1023" s="478" t="s">
        <v>6273</v>
      </c>
      <c r="N1023" s="938">
        <v>46258</v>
      </c>
      <c r="O1023" s="478" t="s">
        <v>4526</v>
      </c>
      <c r="P1023" s="478" t="s">
        <v>691</v>
      </c>
      <c r="Q1023" s="478" t="s">
        <v>692</v>
      </c>
      <c r="R1023" s="478" t="str">
        <f>_xlfn.XLOOKUP(PV_DATA[[#This Row],[New Ark SKU]],Table9[New Ark SKU],Table9[Connector],,0)</f>
        <v>EVO2A</v>
      </c>
      <c r="S1023" s="939" t="str">
        <f>_xlfn.XLOOKUP(PV_DATA[[#This Row],[New Ark SKU]],Table9[New Ark SKU],Table9[Cable],,0)</f>
        <v>±1200mm</v>
      </c>
      <c r="T1023" s="939">
        <v>505</v>
      </c>
      <c r="U1023" s="1222">
        <f>864*4</f>
        <v>3456</v>
      </c>
      <c r="V1023" s="940">
        <f>PV_DATA[[#This Row],[QUANTITY]]*PV_DATA[[#This Row],[WATT]]/1000000</f>
        <v>1.7452799999999999</v>
      </c>
      <c r="W1023" s="941">
        <f>PV_DATA[[#This Row],[QUANTITY]]/PV_DATA[[#This Row],[Qty/Pallet]]</f>
        <v>96</v>
      </c>
      <c r="X1023" s="1117">
        <f>PV_DATA[[#This Row],[QUANTITY]]/PV_DATA[[#This Row],[Qty/CT]]</f>
        <v>4</v>
      </c>
      <c r="Y1023" s="478" t="s">
        <v>2467</v>
      </c>
      <c r="Z1023" s="478" t="str">
        <f>IF(AN1023&lt;&gt;"","COMPLETED",IF(AK1023&lt;&gt;"","IN-TRANSIT",""))</f>
        <v/>
      </c>
      <c r="AA1023" s="478" t="s">
        <v>6626</v>
      </c>
      <c r="AB1023" s="944">
        <v>46275</v>
      </c>
      <c r="AC1023" s="945">
        <f>IF(PV_DATA[[#This Row],[Pick-Up Date]]&lt;&gt;"",_xlfn.ISOWEEKNUM(PV_DATA[[#This Row],[Pick-Up Date]]),"")</f>
        <v>37</v>
      </c>
      <c r="AD1023" s="478" t="s">
        <v>6633</v>
      </c>
      <c r="AF1023" s="478" t="s">
        <v>122</v>
      </c>
      <c r="AG1023" s="478" t="s">
        <v>123</v>
      </c>
      <c r="AH1023" s="478" t="s">
        <v>78</v>
      </c>
      <c r="AI1023" s="944">
        <v>46280</v>
      </c>
      <c r="AJ1023" s="944">
        <f>IFERROR(VLOOKUP(AT1023, Vessel!A:D, 4, FALSE), "")</f>
        <v>46283.604166666664</v>
      </c>
      <c r="AK1023" s="944" t="str">
        <f>IFERROR(IF(VLOOKUP(AT1023,Vessel!A:F,5,FALSE)=0,"",VLOOKUP(AT1023,Vessel!A:F,5,FALSE)),"")</f>
        <v/>
      </c>
      <c r="AL1023" s="944">
        <v>46328</v>
      </c>
      <c r="AM1023" s="946">
        <f>IFERROR(VLOOKUP(AT1023, Vessel!A:H, 8, FALSE), "")</f>
        <v>46328.791666666664</v>
      </c>
      <c r="AN1023" s="946" t="str">
        <f>IFERROR(IF(VLOOKUP(AT1023,Vessel!A:I,9,FALSE)=0,"",VLOOKUP(AT1023,Vessel!A:I,9,FALSE)),"")</f>
        <v/>
      </c>
      <c r="AP1023" s="478" t="s">
        <v>6628</v>
      </c>
      <c r="AQ1023" s="947" t="s">
        <v>80</v>
      </c>
      <c r="AR1023" s="1179" t="s">
        <v>6629</v>
      </c>
      <c r="AS1023" s="478" t="s">
        <v>6630</v>
      </c>
      <c r="AT1023" s="478" t="s">
        <v>6630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3" s="944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44" t="str">
        <f>IF(ISERROR(PV_DATA[[#This Row],[New Ark PO status]]),"",_xlfn.XLOOKUP(PV_DATA[[#This Row],[SPTN-PVHK New Ark PO'#]],New_Ark_Data[Purchase order Number],New_Ark_Data[Estimated time of arrival],"",0))</f>
        <v/>
      </c>
      <c r="AZ102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44">
        <f>IFERROR(PV_DATA[[#This Row],[ODP ETA Port]]+PV_DATA[[#This Row],[Customs/Leg3 Assumption]],"n/a")</f>
        <v>46336.791666666664</v>
      </c>
      <c r="BB1023" s="939">
        <f>YEAR(PV_DATA[[#This Row],[ETA for New Ark update]])</f>
        <v>2026</v>
      </c>
      <c r="BC1023" s="478">
        <f>MONTH(PV_DATA[[#This Row],[ETA for New Ark update]])</f>
        <v>11</v>
      </c>
      <c r="BD1023" s="478">
        <f>IFERROR(_xlfn.ISOWEEKNUM(PV_DATA[[#This Row],[ETA for New Ark update]]),0)</f>
        <v>46</v>
      </c>
      <c r="BE1023" s="478">
        <f>_xlfn.XLOOKUP(PV_DATA[[#This Row],[New Ark SKU]],Table9[New Ark SKU],Table9[Total PCS per Pallet],,0)</f>
        <v>36</v>
      </c>
      <c r="BF1023" s="478">
        <f>_xlfn.XLOOKUP(PV_DATA[[#This Row],[New Ark SKU]],Table9[New Ark SKU],Table9[Total PCS per 40HQ Container],,0)</f>
        <v>864</v>
      </c>
      <c r="BG1023" s="478" t="str">
        <f>_xlfn.XLOOKUP(PV_DATA[[#This Row],[New Ark SKU]],Table9[New Ark SKU],Table9[Back Glass],,0)</f>
        <v>Black glazing</v>
      </c>
      <c r="BH1023" s="948" t="str">
        <f>_xlfn.XLOOKUP(PV_DATA[[#This Row],[PORT DESTINATION]],Table12[PORT DESTINATION],Table12[Cosco Line],,0)</f>
        <v>AEM</v>
      </c>
    </row>
    <row r="1024" spans="1:60" s="478" customFormat="1" ht="10.5" hidden="1">
      <c r="A1024" s="1188" t="s">
        <v>6634</v>
      </c>
      <c r="B1024" s="1172" t="s">
        <v>111</v>
      </c>
      <c r="C1024" s="937" t="str">
        <f>IFERROR(LEFT(PV_DATA[[#This Row],[TCL REFERENCE]],FIND(".",PV_DATA[[#This Row],[TCL REFERENCE]],1)-1),"Main Line")</f>
        <v>26Aug010</v>
      </c>
      <c r="D1024" s="1172" t="s">
        <v>113</v>
      </c>
      <c r="E1024" s="937" t="s">
        <v>64</v>
      </c>
      <c r="F1024" s="117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7" t="s">
        <v>402</v>
      </c>
      <c r="H1024" s="937" t="s">
        <v>115</v>
      </c>
      <c r="I1024" s="937" t="s">
        <v>1395</v>
      </c>
      <c r="J1024" s="478" t="s">
        <v>96</v>
      </c>
      <c r="K1024" s="1179"/>
      <c r="L1024" s="1179"/>
      <c r="M1024" s="478" t="s">
        <v>68</v>
      </c>
      <c r="N1024" s="1189"/>
      <c r="O1024" s="1179" t="s">
        <v>4526</v>
      </c>
      <c r="P1024" s="1179" t="s">
        <v>6207</v>
      </c>
      <c r="Q1024" s="1179" t="s">
        <v>330</v>
      </c>
      <c r="R1024" s="1179" t="str">
        <f>_xlfn.XLOOKUP(PV_DATA[[#This Row],[New Ark SKU]],Table9[New Ark SKU],Table9[Connector],,0)</f>
        <v>H4(Com)</v>
      </c>
      <c r="S1024" s="1180" t="str">
        <f>_xlfn.XLOOKUP(PV_DATA[[#This Row],[New Ark SKU]],Table9[New Ark SKU],Table9[Cable],,0)</f>
        <v>+400mm/-200mm</v>
      </c>
      <c r="T1024" s="1180">
        <v>625</v>
      </c>
      <c r="U1024" s="1222">
        <v>1440</v>
      </c>
      <c r="V1024" s="1181">
        <f>PV_DATA[[#This Row],[QUANTITY]]*PV_DATA[[#This Row],[WATT]]/1000000</f>
        <v>0.9</v>
      </c>
      <c r="W1024" s="941">
        <f>PV_DATA[[#This Row],[QUANTITY]]/36</f>
        <v>40</v>
      </c>
      <c r="X1024" s="1357">
        <f>PV_DATA[[#This Row],[QUANTITY]]/PV_DATA[[#This Row],[Qty/CT]]</f>
        <v>2</v>
      </c>
      <c r="Y1024" s="478" t="s">
        <v>2467</v>
      </c>
      <c r="Z1024" s="478" t="str">
        <f t="shared" ref="Z1024:Z1093" si="19">IF(AN1024&lt;&gt;"","COMPLETED",IF(AK1024&lt;&gt;"","IN-TRANSIT",""))</f>
        <v>IN-TRANSIT</v>
      </c>
      <c r="AA1024" s="1179" t="s">
        <v>5848</v>
      </c>
      <c r="AB1024" s="1183">
        <v>46268</v>
      </c>
      <c r="AC1024" s="1190">
        <f>IF(PV_DATA[[#This Row],[Pick-Up Date]]&lt;&gt;"",_xlfn.ISOWEEKNUM(PV_DATA[[#This Row],[Pick-Up Date]]),"")</f>
        <v>36</v>
      </c>
      <c r="AD1024" s="1179" t="s">
        <v>6635</v>
      </c>
      <c r="AE1024" s="1179"/>
      <c r="AF1024" s="1179" t="s">
        <v>122</v>
      </c>
      <c r="AG1024" s="1179" t="s">
        <v>122</v>
      </c>
      <c r="AH1024" s="478" t="s">
        <v>124</v>
      </c>
      <c r="AI1024" s="1183">
        <v>46273</v>
      </c>
      <c r="AJ1024" s="944">
        <f>IFERROR(VLOOKUP(AT1024, Vessel!A:D, 4, FALSE), "")</f>
        <v>46273.041666666664</v>
      </c>
      <c r="AK1024" s="944">
        <f>IFERROR(IF(VLOOKUP(AT1024,Vessel!A:F,5,FALSE)=0,"",VLOOKUP(AT1024,Vessel!A:F,5,FALSE)),"")</f>
        <v>46273.077708333331</v>
      </c>
      <c r="AL1024" s="1183">
        <v>46317</v>
      </c>
      <c r="AM1024" s="1183"/>
      <c r="AN1024" s="946" t="str">
        <f>IFERROR(IF(VLOOKUP(AT1024,Vessel!A:I,9,FALSE)=0,"",VLOOKUP(AT1024,Vessel!A:I,9,FALSE)),"")</f>
        <v/>
      </c>
      <c r="AO1024" s="1179"/>
      <c r="AP1024" s="1179" t="s">
        <v>6636</v>
      </c>
      <c r="AQ1024" s="987" t="s">
        <v>80</v>
      </c>
      <c r="AR1024" s="1179" t="s">
        <v>6637</v>
      </c>
      <c r="AS1024" s="1179" t="s">
        <v>6638</v>
      </c>
      <c r="AT1024" s="478" t="s">
        <v>6638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43.92229166666948</v>
      </c>
      <c r="AV1024" s="1179"/>
      <c r="AW1024" s="118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83" t="str">
        <f>IF(ISERROR(PV_DATA[[#This Row],[New Ark PO status]]),"",_xlfn.XLOOKUP(PV_DATA[[#This Row],[SPTN-PVHK New Ark PO'#]],New_Ark_Data[Purchase order Number],New_Ark_Data[Estimated time of arrival],"",0))</f>
        <v/>
      </c>
      <c r="AZ1024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83">
        <f>IFERROR(PV_DATA[[#This Row],[ODP ETA Port]]+PV_DATA[[#This Row],[Customs/Leg3 Assumption]],"n/a")</f>
        <v>46326</v>
      </c>
      <c r="BB1024" s="939" t="s">
        <v>6531</v>
      </c>
      <c r="BC1024" s="939" t="s">
        <v>6531</v>
      </c>
      <c r="BD1024" s="1179">
        <f>IFERROR(_xlfn.ISOWEEKNUM(PV_DATA[[#This Row],[ETA for New Ark update]]),0)</f>
        <v>44</v>
      </c>
      <c r="BE1024" s="1179">
        <f>_xlfn.XLOOKUP(PV_DATA[[#This Row],[New Ark SKU]],Table9[New Ark SKU],Table9[Total PCS per Pallet],,0)</f>
        <v>36</v>
      </c>
      <c r="BF1024" s="1179">
        <f>_xlfn.XLOOKUP(PV_DATA[[#This Row],[New Ark SKU]],Table9[New Ark SKU],Table9[Total PCS per 40HQ Container],,0)</f>
        <v>720</v>
      </c>
      <c r="BG1024" s="1179" t="str">
        <f>_xlfn.XLOOKUP(PV_DATA[[#This Row],[New Ark SKU]],Table9[New Ark SKU],Table9[Back Glass],,0)</f>
        <v>Redirection Film</v>
      </c>
      <c r="BH1024" s="1192" t="str">
        <f>_xlfn.XLOOKUP(PV_DATA[[#This Row],[PORT DESTINATION]],Table12[PORT DESTINATION],Table12[Cosco Line],,0)</f>
        <v>AEM</v>
      </c>
    </row>
    <row r="1025" spans="1:62" s="478" customFormat="1" ht="10.5" hidden="1">
      <c r="A1025" s="1266" t="s">
        <v>6639</v>
      </c>
      <c r="B1025" s="1172" t="s">
        <v>111</v>
      </c>
      <c r="C1025" s="937" t="str">
        <f>IFERROR(LEFT(PV_DATA[[#This Row],[TCL REFERENCE]],FIND(".",PV_DATA[[#This Row],[TCL REFERENCE]],1)-1),"Main Line")</f>
        <v>26Aug010</v>
      </c>
      <c r="D1025" s="1172" t="s">
        <v>113</v>
      </c>
      <c r="E1025" s="937" t="s">
        <v>64</v>
      </c>
      <c r="F1025" s="117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37" t="s">
        <v>402</v>
      </c>
      <c r="H1025" s="937" t="s">
        <v>115</v>
      </c>
      <c r="I1025" s="937" t="s">
        <v>1395</v>
      </c>
      <c r="J1025" s="478" t="s">
        <v>96</v>
      </c>
      <c r="K1025" s="1179"/>
      <c r="L1025" s="1179"/>
      <c r="M1025" s="478" t="s">
        <v>68</v>
      </c>
      <c r="N1025" s="1189"/>
      <c r="O1025" s="1179" t="s">
        <v>4526</v>
      </c>
      <c r="P1025" s="1179" t="s">
        <v>6207</v>
      </c>
      <c r="Q1025" s="1179" t="s">
        <v>330</v>
      </c>
      <c r="R1025" s="1179" t="str">
        <f>_xlfn.XLOOKUP(PV_DATA[[#This Row],[New Ark SKU]],Table9[New Ark SKU],Table9[Connector],,0)</f>
        <v>H4(Com)</v>
      </c>
      <c r="S1025" s="1180" t="str">
        <f>_xlfn.XLOOKUP(PV_DATA[[#This Row],[New Ark SKU]],Table9[New Ark SKU],Table9[Cable],,0)</f>
        <v>+400mm/-200mm</v>
      </c>
      <c r="T1025" s="1180">
        <v>625</v>
      </c>
      <c r="U1025" s="1222">
        <v>720</v>
      </c>
      <c r="V1025" s="1181">
        <f>PV_DATA[[#This Row],[QUANTITY]]*PV_DATA[[#This Row],[WATT]]/1000000</f>
        <v>0.45</v>
      </c>
      <c r="W1025" s="941">
        <f>PV_DATA[[#This Row],[QUANTITY]]/36</f>
        <v>20</v>
      </c>
      <c r="X1025" s="1357">
        <f>PV_DATA[[#This Row],[QUANTITY]]/PV_DATA[[#This Row],[Qty/CT]]</f>
        <v>1</v>
      </c>
      <c r="Y1025" s="478" t="s">
        <v>2467</v>
      </c>
      <c r="Z1025" s="478" t="str">
        <f t="shared" si="19"/>
        <v>IN-TRANSIT</v>
      </c>
      <c r="AA1025" s="1179" t="s">
        <v>5848</v>
      </c>
      <c r="AB1025" s="1183">
        <v>46269</v>
      </c>
      <c r="AC1025" s="1190">
        <f>IF(PV_DATA[[#This Row],[Pick-Up Date]]&lt;&gt;"",_xlfn.ISOWEEKNUM(PV_DATA[[#This Row],[Pick-Up Date]]),"")</f>
        <v>36</v>
      </c>
      <c r="AD1025" s="1179" t="s">
        <v>6640</v>
      </c>
      <c r="AE1025" s="1179"/>
      <c r="AF1025" s="1179" t="s">
        <v>122</v>
      </c>
      <c r="AG1025" s="1179" t="s">
        <v>122</v>
      </c>
      <c r="AH1025" s="478" t="s">
        <v>124</v>
      </c>
      <c r="AI1025" s="1183">
        <v>46277</v>
      </c>
      <c r="AJ1025" s="944">
        <f>IFERROR(VLOOKUP(AT1025, Vessel!A:D, 4, FALSE), "")</f>
        <v>46277.791666666664</v>
      </c>
      <c r="AK1025" s="944">
        <f>IFERROR(IF(VLOOKUP(AT1025,Vessel!A:F,5,FALSE)=0,"",VLOOKUP(AT1025,Vessel!A:F,5,FALSE)),"")</f>
        <v>46277.833090277774</v>
      </c>
      <c r="AL1025" s="1183">
        <v>46310</v>
      </c>
      <c r="AM1025" s="1183"/>
      <c r="AN1025" s="946" t="str">
        <f>IFERROR(IF(VLOOKUP(AT1025,Vessel!A:I,9,FALSE)=0,"",VLOOKUP(AT1025,Vessel!A:I,9,FALSE)),"")</f>
        <v/>
      </c>
      <c r="AO1025" s="1179"/>
      <c r="AP1025" s="1179" t="s">
        <v>6621</v>
      </c>
      <c r="AQ1025" s="987" t="s">
        <v>80</v>
      </c>
      <c r="AR1025" s="1179" t="s">
        <v>6641</v>
      </c>
      <c r="AS1025" s="1179" t="s">
        <v>6642</v>
      </c>
      <c r="AT1025" s="478" t="s">
        <v>6642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32.166909722225682</v>
      </c>
      <c r="AV1025" s="1179"/>
      <c r="AW1025" s="1183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83" t="str">
        <f>IF(ISERROR(PV_DATA[[#This Row],[New Ark PO status]]),"",_xlfn.XLOOKUP(PV_DATA[[#This Row],[SPTN-PVHK New Ark PO'#]],New_Ark_Data[Purchase order Number],New_Ark_Data[Estimated time of arrival],"",0))</f>
        <v/>
      </c>
      <c r="AZ1025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83">
        <f>IFERROR(PV_DATA[[#This Row],[ODP ETA Port]]+PV_DATA[[#This Row],[Customs/Leg3 Assumption]],"n/a")</f>
        <v>46319</v>
      </c>
      <c r="BB1025" s="939" t="s">
        <v>6531</v>
      </c>
      <c r="BC1025" s="939" t="s">
        <v>6531</v>
      </c>
      <c r="BD1025" s="1179">
        <f>IFERROR(_xlfn.ISOWEEKNUM(PV_DATA[[#This Row],[ETA for New Ark update]]),0)</f>
        <v>43</v>
      </c>
      <c r="BE1025" s="1179">
        <f>_xlfn.XLOOKUP(PV_DATA[[#This Row],[New Ark SKU]],Table9[New Ark SKU],Table9[Total PCS per Pallet],,0)</f>
        <v>36</v>
      </c>
      <c r="BF1025" s="1179">
        <f>_xlfn.XLOOKUP(PV_DATA[[#This Row],[New Ark SKU]],Table9[New Ark SKU],Table9[Total PCS per 40HQ Container],,0)</f>
        <v>720</v>
      </c>
      <c r="BG1025" s="1179" t="str">
        <f>_xlfn.XLOOKUP(PV_DATA[[#This Row],[New Ark SKU]],Table9[New Ark SKU],Table9[Back Glass],,0)</f>
        <v>Redirection Film</v>
      </c>
      <c r="BH1025" s="1192" t="str">
        <f>_xlfn.XLOOKUP(PV_DATA[[#This Row],[PORT DESTINATION]],Table12[PORT DESTINATION],Table12[Cosco Line],,0)</f>
        <v>AEM</v>
      </c>
    </row>
    <row r="1026" spans="1:62" s="478" customFormat="1" ht="10.5" hidden="1">
      <c r="A1026" s="1171" t="s">
        <v>6643</v>
      </c>
      <c r="B1026" s="937" t="s">
        <v>61</v>
      </c>
      <c r="C1026" s="937" t="str">
        <f>IFERROR(LEFT(PV_DATA[[#This Row],[TCL REFERENCE]],FIND(".",PV_DATA[[#This Row],[TCL REFERENCE]],1)-1),"Main Line")</f>
        <v>26Aug003</v>
      </c>
      <c r="D1026" s="937" t="s">
        <v>63</v>
      </c>
      <c r="E1026" s="937" t="s">
        <v>64</v>
      </c>
      <c r="F1026" s="937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7" t="s">
        <v>402</v>
      </c>
      <c r="H1026" s="937" t="s">
        <v>67</v>
      </c>
      <c r="I1026" s="937" t="s">
        <v>6372</v>
      </c>
      <c r="J1026" s="478" t="s">
        <v>96</v>
      </c>
      <c r="K1026" s="937"/>
      <c r="M1026" s="478" t="s">
        <v>6273</v>
      </c>
      <c r="N1026" s="938">
        <v>46237</v>
      </c>
      <c r="O1026" s="478" t="s">
        <v>4526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9" t="str">
        <f>_xlfn.XLOOKUP(PV_DATA[[#This Row],[New Ark SKU]],Table9[New Ark SKU],Table9[Cable],,0)</f>
        <v>±1200mm</v>
      </c>
      <c r="T1026" s="939">
        <v>500</v>
      </c>
      <c r="U1026" s="1222">
        <f>864*6</f>
        <v>5184</v>
      </c>
      <c r="V1026" s="940">
        <f>PV_DATA[[#This Row],[QUANTITY]]*PV_DATA[[#This Row],[WATT]]/1000000</f>
        <v>2.5920000000000001</v>
      </c>
      <c r="W1026" s="941">
        <f>PV_DATA[[#This Row],[QUANTITY]]/PV_DATA[[#This Row],[Qty/Pallet]]</f>
        <v>144</v>
      </c>
      <c r="X1026" s="1117">
        <f>PV_DATA[[#This Row],[QUANTITY]]/PV_DATA[[#This Row],[Qty/CT]]</f>
        <v>6</v>
      </c>
      <c r="Y1026" s="478" t="s">
        <v>2469</v>
      </c>
      <c r="Z1026" s="478" t="str">
        <f>IF(AN1026&lt;&gt;"","COMPLETED",IF(AK1026&lt;&gt;"","IN-TRANSIT",""))</f>
        <v/>
      </c>
      <c r="AA1026" s="478" t="s">
        <v>6644</v>
      </c>
      <c r="AB1026" s="944"/>
      <c r="AC1026" s="945" t="str">
        <f>IF(PV_DATA[[#This Row],[Pick-Up Date]]&lt;&gt;"",_xlfn.ISOWEEKNUM(PV_DATA[[#This Row],[Pick-Up Date]]),"")</f>
        <v/>
      </c>
      <c r="AF1026" s="949" t="s">
        <v>61</v>
      </c>
      <c r="AG1026" s="949" t="s">
        <v>61</v>
      </c>
      <c r="AH1026" s="478" t="s">
        <v>78</v>
      </c>
      <c r="AI1026" s="946"/>
      <c r="AJ1026" s="944"/>
      <c r="AK1026" s="944"/>
      <c r="AL1026" s="946"/>
      <c r="AM1026" s="946"/>
      <c r="AN1026" s="946"/>
      <c r="AQ1026" s="947" t="s">
        <v>80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6" s="944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4" t="str">
        <f>IF(ISERROR(PV_DATA[[#This Row],[New Ark PO status]]),"",_xlfn.XLOOKUP(PV_DATA[[#This Row],[SPTN-PVHK New Ark PO'#]],New_Ark_Data[Purchase order Number],New_Ark_Data[Estimated time of arrival],"",0))</f>
        <v/>
      </c>
      <c r="AZ1026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4">
        <f>IFERROR(PV_DATA[[#This Row],[ODP ETA Port]]+PV_DATA[[#This Row],[Customs/Leg3 Assumption]],"n/a")</f>
        <v>46365</v>
      </c>
      <c r="BB1026" s="939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50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8" t="str">
        <f>_xlfn.XLOOKUP(PV_DATA[[#This Row],[PORT DESTINATION]],Table12[PORT DESTINATION],Table12[Cosco Line],,0)</f>
        <v>AEM</v>
      </c>
    </row>
    <row r="1027" spans="1:62" s="478" customFormat="1" ht="10.5" hidden="1">
      <c r="A1027" s="1171" t="s">
        <v>6645</v>
      </c>
      <c r="B1027" s="937" t="s">
        <v>61</v>
      </c>
      <c r="C1027" s="937" t="str">
        <f>IFERROR(LEFT(PV_DATA[[#This Row],[TCL REFERENCE]],FIND(".",PV_DATA[[#This Row],[TCL REFERENCE]],1)-1),"Main Line")</f>
        <v>26Aug003</v>
      </c>
      <c r="D1027" s="937" t="s">
        <v>63</v>
      </c>
      <c r="E1027" s="937" t="s">
        <v>64</v>
      </c>
      <c r="F1027" s="937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7" t="s">
        <v>402</v>
      </c>
      <c r="H1027" s="937" t="s">
        <v>67</v>
      </c>
      <c r="I1027" s="937" t="s">
        <v>689</v>
      </c>
      <c r="J1027" s="937" t="s">
        <v>6646</v>
      </c>
      <c r="K1027" s="937"/>
      <c r="M1027" s="478" t="s">
        <v>6273</v>
      </c>
      <c r="N1027" s="938">
        <v>46237</v>
      </c>
      <c r="O1027" s="478" t="s">
        <v>4526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9" t="str">
        <f>_xlfn.XLOOKUP(PV_DATA[[#This Row],[New Ark SKU]],Table9[New Ark SKU],Table9[Cable],,0)</f>
        <v>±1200mm</v>
      </c>
      <c r="T1027" s="939">
        <v>500</v>
      </c>
      <c r="U1027" s="1222">
        <f>864*3</f>
        <v>2592</v>
      </c>
      <c r="V1027" s="940">
        <f>PV_DATA[[#This Row],[QUANTITY]]*PV_DATA[[#This Row],[WATT]]/1000000</f>
        <v>1.296</v>
      </c>
      <c r="W1027" s="941">
        <f>PV_DATA[[#This Row],[QUANTITY]]/PV_DATA[[#This Row],[Qty/Pallet]]</f>
        <v>72</v>
      </c>
      <c r="X1027" s="1117">
        <f>PV_DATA[[#This Row],[QUANTITY]]/PV_DATA[[#This Row],[Qty/CT]]</f>
        <v>3</v>
      </c>
      <c r="Y1027" s="478" t="s">
        <v>2468</v>
      </c>
      <c r="Z1027" s="478" t="str">
        <f>IF(AN1027&lt;&gt;"","COMPLETED",IF(AK1027&lt;&gt;"","IN-TRANSIT",""))</f>
        <v/>
      </c>
      <c r="AA1027" s="478" t="s">
        <v>6647</v>
      </c>
      <c r="AB1027" s="950"/>
      <c r="AC1027" s="945" t="str">
        <f>IF(PV_DATA[[#This Row],[Pick-Up Date]]&lt;&gt;"",_xlfn.ISOWEEKNUM(PV_DATA[[#This Row],[Pick-Up Date]]),"")</f>
        <v/>
      </c>
      <c r="AF1027" s="949" t="s">
        <v>61</v>
      </c>
      <c r="AG1027" s="949" t="s">
        <v>61</v>
      </c>
      <c r="AH1027" s="478" t="s">
        <v>78</v>
      </c>
      <c r="AI1027" s="946"/>
      <c r="AJ1027" s="944"/>
      <c r="AK1027" s="944"/>
      <c r="AL1027" s="946"/>
      <c r="AM1027" s="946"/>
      <c r="AN1027" s="946"/>
      <c r="AO1027" s="1194"/>
      <c r="AQ1027" s="1193"/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44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4">
        <f>IF(ISERROR(PV_DATA[[#This Row],[New Ark PO status]]),"",_xlfn.XLOOKUP(PV_DATA[[#This Row],[SPTN-PVHK New Ark PO'#]],New_Ark_Data[Purchase order Number],New_Ark_Data[Estimated time of arrival],"",0))</f>
        <v>0</v>
      </c>
      <c r="AZ1027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4">
        <f>IFERROR(PV_DATA[[#This Row],[ODP ETA Port]]+PV_DATA[[#This Row],[Customs/Leg3 Assumption]],"n/a")</f>
        <v>46358</v>
      </c>
      <c r="BB1027" s="939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49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8" t="str">
        <f>_xlfn.XLOOKUP(PV_DATA[[#This Row],[PORT DESTINATION]],Table12[PORT DESTINATION],Table12[Cosco Line],,0)</f>
        <v>AEM</v>
      </c>
    </row>
    <row r="1028" spans="1:62" s="478" customFormat="1" ht="10.5" hidden="1">
      <c r="A1028" s="1171" t="s">
        <v>6648</v>
      </c>
      <c r="B1028" s="937" t="s">
        <v>61</v>
      </c>
      <c r="C1028" s="937" t="str">
        <f>IFERROR(LEFT(PV_DATA[[#This Row],[TCL REFERENCE]],FIND(".",PV_DATA[[#This Row],[TCL REFERENCE]],1)-1),"Main Line")</f>
        <v>26Aug003</v>
      </c>
      <c r="D1028" s="937" t="s">
        <v>63</v>
      </c>
      <c r="E1028" s="937" t="s">
        <v>64</v>
      </c>
      <c r="F1028" s="937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7" t="s">
        <v>402</v>
      </c>
      <c r="H1028" s="937" t="s">
        <v>67</v>
      </c>
      <c r="I1028" s="937" t="s">
        <v>6372</v>
      </c>
      <c r="J1028" s="478" t="s">
        <v>96</v>
      </c>
      <c r="K1028" s="937"/>
      <c r="M1028" s="478" t="s">
        <v>6273</v>
      </c>
      <c r="N1028" s="938">
        <v>46237</v>
      </c>
      <c r="O1028" s="478" t="s">
        <v>4526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9" t="str">
        <f>_xlfn.XLOOKUP(PV_DATA[[#This Row],[New Ark SKU]],Table9[New Ark SKU],Table9[Cable],,0)</f>
        <v>±1200mm</v>
      </c>
      <c r="T1028" s="939">
        <v>500</v>
      </c>
      <c r="U1028" s="1222">
        <f>864*6</f>
        <v>5184</v>
      </c>
      <c r="V1028" s="940">
        <f>PV_DATA[[#This Row],[QUANTITY]]*PV_DATA[[#This Row],[WATT]]/1000000</f>
        <v>2.5920000000000001</v>
      </c>
      <c r="W1028" s="941">
        <f>PV_DATA[[#This Row],[QUANTITY]]/PV_DATA[[#This Row],[Qty/Pallet]]</f>
        <v>144</v>
      </c>
      <c r="X1028" s="1117">
        <f>PV_DATA[[#This Row],[QUANTITY]]/PV_DATA[[#This Row],[Qty/CT]]</f>
        <v>6</v>
      </c>
      <c r="Y1028" s="478" t="s">
        <v>2470</v>
      </c>
      <c r="Z1028" s="478" t="str">
        <f>IF(AN1028&lt;&gt;"","COMPLETED",IF(AK1028&lt;&gt;"","IN-TRANSIT",""))</f>
        <v/>
      </c>
      <c r="AA1028" s="478" t="s">
        <v>6649</v>
      </c>
      <c r="AB1028" s="944"/>
      <c r="AC1028" s="945" t="str">
        <f>IF(PV_DATA[[#This Row],[Pick-Up Date]]&lt;&gt;"",_xlfn.ISOWEEKNUM(PV_DATA[[#This Row],[Pick-Up Date]]),"")</f>
        <v/>
      </c>
      <c r="AF1028" s="949" t="s">
        <v>61</v>
      </c>
      <c r="AG1028" s="949" t="s">
        <v>61</v>
      </c>
      <c r="AH1028" s="478" t="s">
        <v>78</v>
      </c>
      <c r="AI1028" s="946"/>
      <c r="AJ1028" s="944"/>
      <c r="AK1028" s="944"/>
      <c r="AL1028" s="946"/>
      <c r="AM1028" s="946"/>
      <c r="AN1028" s="946"/>
      <c r="AQ1028" s="947" t="s">
        <v>80</v>
      </c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4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2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4">
        <f>IF(ISERROR(PV_DATA[[#This Row],[New Ark PO status]]),"",_xlfn.XLOOKUP(PV_DATA[[#This Row],[SPTN-PVHK New Ark PO'#]],New_Ark_Data[Purchase order Number],New_Ark_Data[Estimated time of arrival],"",0))</f>
        <v>0</v>
      </c>
      <c r="AZ1028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4">
        <f>IFERROR(PV_DATA[[#This Row],[ODP ETA Port]]+PV_DATA[[#This Row],[Customs/Leg3 Assumption]],"n/a")</f>
        <v>46372</v>
      </c>
      <c r="BB1028" s="939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51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8" t="str">
        <f>_xlfn.XLOOKUP(PV_DATA[[#This Row],[PORT DESTINATION]],Table12[PORT DESTINATION],Table12[Cosco Line],,0)</f>
        <v>AEM</v>
      </c>
    </row>
    <row r="1029" spans="1:62" s="478" customFormat="1" ht="10.5" hidden="1">
      <c r="A1029" s="937" t="s">
        <v>4897</v>
      </c>
      <c r="B1029" s="937" t="s">
        <v>61</v>
      </c>
      <c r="C1029" s="937" t="str">
        <f>IFERROR(LEFT(PV_DATA[[#This Row],[TCL REFERENCE]],FIND(".",PV_DATA[[#This Row],[TCL REFERENCE]],1)-1),"Main Line")</f>
        <v>Main Line</v>
      </c>
      <c r="D1029" s="937" t="s">
        <v>63</v>
      </c>
      <c r="E1029" s="937" t="s">
        <v>68</v>
      </c>
      <c r="F1029" s="937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937" t="s">
        <v>68</v>
      </c>
      <c r="H1029" s="937" t="s">
        <v>68</v>
      </c>
      <c r="I1029" s="937" t="s">
        <v>68</v>
      </c>
      <c r="J1029" s="478" t="s">
        <v>68</v>
      </c>
      <c r="M1029" s="478" t="s">
        <v>68</v>
      </c>
      <c r="N1029" s="938">
        <v>46153</v>
      </c>
      <c r="O1029" s="478" t="s">
        <v>4526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9" t="str">
        <f>_xlfn.XLOOKUP(PV_DATA[[#This Row],[New Ark SKU]],Table9[New Ark SKU],Table9[Cable],,0)</f>
        <v>±1200mm</v>
      </c>
      <c r="T1029" s="939">
        <v>500</v>
      </c>
      <c r="U1029" s="1222" cm="1">
        <f t="array" ref="U1029">56160-fx_qty</f>
        <v>0</v>
      </c>
      <c r="V1029" s="940">
        <f>PV_DATA[[#This Row],[QUANTITY]]*PV_DATA[[#This Row],[WATT]]/1000000</f>
        <v>0</v>
      </c>
      <c r="W1029" s="941">
        <f>PV_DATA[[#This Row],[QUANTITY]]/PV_DATA[[#This Row],[Qty/Pallet]]</f>
        <v>0</v>
      </c>
      <c r="X1029" s="1117">
        <f>PV_DATA[[#This Row],[QUANTITY]]/PV_DATA[[#This Row],[Qty/CT]]</f>
        <v>0</v>
      </c>
      <c r="Y1029" s="478" t="s">
        <v>6650</v>
      </c>
      <c r="Z1029" s="478" t="str">
        <f>IF(AN1029&lt;&gt;"","COMPLETED",IF(AK1029&lt;&gt;"","IN-TRANSIT",""))</f>
        <v/>
      </c>
      <c r="AB1029" s="944"/>
      <c r="AC1029" s="945" t="str">
        <f>IF(PV_DATA[[#This Row],[Pick-Up Date]]&lt;&gt;"",_xlfn.ISOWEEKNUM(PV_DATA[[#This Row],[Pick-Up Date]]),"")</f>
        <v/>
      </c>
      <c r="AF1029" s="478" t="s">
        <v>61</v>
      </c>
      <c r="AG1029" s="478" t="s">
        <v>61</v>
      </c>
      <c r="AH1029" s="478" t="s">
        <v>68</v>
      </c>
      <c r="AI1029" s="944"/>
      <c r="AJ1029" s="944" t="str">
        <f>IFERROR(VLOOKUP(AT1029, Vessel!A:D, 4, FALSE), "")</f>
        <v/>
      </c>
      <c r="AK1029" s="944" t="str">
        <f>IFERROR(IF(VLOOKUP(AT1029,Vessel!A:F,5,FALSE)=0,"",VLOOKUP(AT1029,Vessel!A:F,5,FALSE)),"")</f>
        <v/>
      </c>
      <c r="AL1029" s="944"/>
      <c r="AM1029" s="944"/>
      <c r="AN1029" s="946" t="str">
        <f>IFERROR(IF(VLOOKUP(AT1029,Vessel!A:I,9,FALSE)=0,"",VLOOKUP(AT1029,Vessel!A:I,9,FALSE)),"")</f>
        <v/>
      </c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9" s="944"/>
      <c r="AW1029" s="944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4" t="str">
        <f>IF(ISERROR(PV_DATA[[#This Row],[New Ark PO status]]),"",_xlfn.XLOOKUP(PV_DATA[[#This Row],[SPTN-PVHK New Ark PO'#]],New_Ark_Data[Purchase order Number],New_Ark_Data[Estimated time of arrival],"",0))</f>
        <v/>
      </c>
      <c r="AZ1029" s="93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944" t="str">
        <f>IFERROR(PV_DATA[[#This Row],[ODP ETA Port]]+PV_DATA[[#This Row],[Customs/Leg3 Assumption]],"n/a")</f>
        <v>n/a</v>
      </c>
      <c r="BB1029" s="939" t="e">
        <f>YEAR(PV_DATA[[#This Row],[ETA for New Ark update]])</f>
        <v>#VALUE!</v>
      </c>
      <c r="BC1029" s="478" t="e">
        <f>MONTH(PV_DATA[[#This Row],[ETA for New Ark update]])</f>
        <v>#VALUE!</v>
      </c>
      <c r="BD1029" s="478">
        <f>IFERROR(_xlfn.ISOWEEKNUM(PV_DATA[[#This Row],[ETA for New Ark update]]),0)</f>
        <v>0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478" t="str">
        <f>_xlfn.XLOOKUP(PV_DATA[[#This Row],[PORT DESTINATION]],Table12[PORT DESTINATION],Table12[Cosco Line],,0)</f>
        <v>n/a</v>
      </c>
    </row>
    <row r="1030" spans="1:62" s="478" customFormat="1" ht="10.5" hidden="1">
      <c r="A1030" s="937" t="s">
        <v>6651</v>
      </c>
      <c r="B1030" s="937" t="s">
        <v>111</v>
      </c>
      <c r="C1030" s="937" t="str">
        <f>IFERROR(LEFT(PV_DATA[[#This Row],[TCL REFERENCE]],FIND(".",PV_DATA[[#This Row],[TCL REFERENCE]],1)-1),"Main Line")</f>
        <v>26Jul009</v>
      </c>
      <c r="D1030" s="937" t="s">
        <v>63</v>
      </c>
      <c r="E1030" s="937" t="s">
        <v>64</v>
      </c>
      <c r="F1030" s="937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937" t="s">
        <v>402</v>
      </c>
      <c r="H1030" s="937" t="s">
        <v>67</v>
      </c>
      <c r="I1030" s="937" t="s">
        <v>689</v>
      </c>
      <c r="J1030" s="478" t="s">
        <v>96</v>
      </c>
      <c r="M1030" s="478" t="s">
        <v>68</v>
      </c>
      <c r="N1030" s="938">
        <v>46251</v>
      </c>
      <c r="O1030" s="478" t="s">
        <v>5374</v>
      </c>
      <c r="P1030" s="478" t="s">
        <v>6652</v>
      </c>
      <c r="Q1030" s="478" t="s">
        <v>6653</v>
      </c>
      <c r="R1030" s="478" t="str">
        <f>_xlfn.XLOOKUP(PV_DATA[[#This Row],[New Ark SKU]],Table9[New Ark SKU],Table9[Connector],,0)</f>
        <v>EVO2A</v>
      </c>
      <c r="S1030" s="939" t="str">
        <f>_xlfn.XLOOKUP(PV_DATA[[#This Row],[New Ark SKU]],Table9[New Ark SKU],Table9[Cable],,0)</f>
        <v>±1200mm</v>
      </c>
      <c r="T1030" s="939">
        <v>475</v>
      </c>
      <c r="U1030" s="1222">
        <v>4680</v>
      </c>
      <c r="V1030" s="940">
        <f>PV_DATA[[#This Row],[QUANTITY]]*PV_DATA[[#This Row],[WATT]]/1000000</f>
        <v>2.2229999999999999</v>
      </c>
      <c r="W1030" s="941">
        <f>PV_DATA[[#This Row],[QUANTITY]]/PV_DATA[[#This Row],[Qty/Pallet]]</f>
        <v>130</v>
      </c>
      <c r="X1030" s="1117">
        <f>PV_DATA[[#This Row],[QUANTITY]]/PV_DATA[[#This Row],[Qty/CT]]</f>
        <v>5</v>
      </c>
      <c r="Y1030" s="478" t="s">
        <v>2467</v>
      </c>
      <c r="Z1030" s="478" t="str">
        <f t="shared" si="19"/>
        <v/>
      </c>
      <c r="AA1030" s="1175">
        <v>46260</v>
      </c>
      <c r="AB1030" s="944">
        <v>46279</v>
      </c>
      <c r="AC1030" s="945">
        <f>IF(PV_DATA[[#This Row],[Pick-Up Date]]&lt;&gt;"",_xlfn.ISOWEEKNUM(PV_DATA[[#This Row],[Pick-Up Date]]),"")</f>
        <v>38</v>
      </c>
      <c r="AF1030" s="478" t="s">
        <v>5992</v>
      </c>
      <c r="AG1030" s="478" t="s">
        <v>5992</v>
      </c>
      <c r="AH1030" s="478" t="s">
        <v>105</v>
      </c>
      <c r="AI1030" s="944">
        <v>46280</v>
      </c>
      <c r="AJ1030" s="944"/>
      <c r="AK1030" s="944"/>
      <c r="AL1030" s="944">
        <v>46313</v>
      </c>
      <c r="AM1030" s="946"/>
      <c r="AN1030" s="946"/>
      <c r="AP1030" s="478" t="s">
        <v>6575</v>
      </c>
      <c r="AQ1030" s="478" t="s">
        <v>80</v>
      </c>
      <c r="AR1030" s="1228" t="s">
        <v>6654</v>
      </c>
      <c r="AS1030" s="478" t="s">
        <v>6655</v>
      </c>
      <c r="AT1030" s="478" t="s">
        <v>6655</v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944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4" t="str">
        <f>IF(ISERROR(PV_DATA[[#This Row],[New Ark PO status]]),"",_xlfn.XLOOKUP(PV_DATA[[#This Row],[SPTN-PVHK New Ark PO'#]],New_Ark_Data[Purchase order Number],New_Ark_Data[Estimated time of arrival],"",0))</f>
        <v/>
      </c>
      <c r="AZ103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944">
        <f>IFERROR(PV_DATA[[#This Row],[ODP ETA Port]]+PV_DATA[[#This Row],[Customs/Leg3 Assumption]],"n/a")</f>
        <v>46320</v>
      </c>
      <c r="BB1030" s="939">
        <f>YEAR(PV_DATA[[#This Row],[ETA for New Ark update]])</f>
        <v>2026</v>
      </c>
      <c r="BC1030" s="478">
        <f>MONTH(PV_DATA[[#This Row],[ETA for New Ark update]])</f>
        <v>10</v>
      </c>
      <c r="BD1030" s="478">
        <f>IFERROR(_xlfn.ISOWEEKNUM(PV_DATA[[#This Row],[ETA for New Ark update]]),0)</f>
        <v>43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936</v>
      </c>
      <c r="BG1030" s="478" t="str">
        <f>_xlfn.XLOOKUP(PV_DATA[[#This Row],[New Ark SKU]],Table9[New Ark SKU],Table9[Back Glass],,0)</f>
        <v>Black glazing</v>
      </c>
      <c r="BH1030" s="478" t="str">
        <f>_xlfn.XLOOKUP(PV_DATA[[#This Row],[PORT DESTINATION]],Table12[PORT DESTINATION],Table12[Cosco Line],,0)</f>
        <v>AEU</v>
      </c>
    </row>
    <row r="1031" spans="1:62" s="478" customFormat="1" ht="10.5" hidden="1">
      <c r="A1031" s="937" t="s">
        <v>6656</v>
      </c>
      <c r="B1031" s="937" t="s">
        <v>111</v>
      </c>
      <c r="C1031" s="937" t="str">
        <f>IFERROR(LEFT(PV_DATA[[#This Row],[TCL REFERENCE]],FIND(".",PV_DATA[[#This Row],[TCL REFERENCE]],1)-1),"Main Line")</f>
        <v>26Jul009</v>
      </c>
      <c r="D1031" s="937" t="s">
        <v>63</v>
      </c>
      <c r="E1031" s="937" t="s">
        <v>64</v>
      </c>
      <c r="F1031" s="937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937" t="s">
        <v>402</v>
      </c>
      <c r="H1031" s="937" t="s">
        <v>67</v>
      </c>
      <c r="I1031" s="937" t="s">
        <v>689</v>
      </c>
      <c r="J1031" s="478" t="s">
        <v>96</v>
      </c>
      <c r="M1031" s="478" t="s">
        <v>68</v>
      </c>
      <c r="N1031" s="938">
        <v>46251</v>
      </c>
      <c r="O1031" s="478" t="s">
        <v>5374</v>
      </c>
      <c r="P1031" s="478" t="s">
        <v>6652</v>
      </c>
      <c r="Q1031" s="478" t="s">
        <v>6653</v>
      </c>
      <c r="R1031" s="478" t="str">
        <f>_xlfn.XLOOKUP(PV_DATA[[#This Row],[New Ark SKU]],Table9[New Ark SKU],Table9[Connector],,0)</f>
        <v>EVO2A</v>
      </c>
      <c r="S1031" s="939" t="str">
        <f>_xlfn.XLOOKUP(PV_DATA[[#This Row],[New Ark SKU]],Table9[New Ark SKU],Table9[Cable],,0)</f>
        <v>±1200mm</v>
      </c>
      <c r="T1031" s="939">
        <v>475</v>
      </c>
      <c r="U1031" s="1222">
        <v>936</v>
      </c>
      <c r="V1031" s="940">
        <f>PV_DATA[[#This Row],[QUANTITY]]*PV_DATA[[#This Row],[WATT]]/1000000</f>
        <v>0.4446</v>
      </c>
      <c r="W1031" s="941">
        <f>PV_DATA[[#This Row],[QUANTITY]]/PV_DATA[[#This Row],[Qty/Pallet]]</f>
        <v>26</v>
      </c>
      <c r="X1031" s="1117">
        <f>PV_DATA[[#This Row],[QUANTITY]]/PV_DATA[[#This Row],[Qty/CT]]</f>
        <v>1</v>
      </c>
      <c r="Y1031" s="478" t="s">
        <v>2467</v>
      </c>
      <c r="Z1031" s="478" t="str">
        <f t="shared" ref="Z1031" si="20">IF(AN1031&lt;&gt;"","COMPLETED",IF(AK1031&lt;&gt;"","IN-TRANSIT",""))</f>
        <v/>
      </c>
      <c r="AA1031" s="1175">
        <v>46260</v>
      </c>
      <c r="AB1031" s="944">
        <v>46280</v>
      </c>
      <c r="AC1031" s="945">
        <f>IF(PV_DATA[[#This Row],[Pick-Up Date]]&lt;&gt;"",_xlfn.ISOWEEKNUM(PV_DATA[[#This Row],[Pick-Up Date]]),"")</f>
        <v>38</v>
      </c>
      <c r="AF1031" s="478" t="s">
        <v>5992</v>
      </c>
      <c r="AG1031" s="478" t="s">
        <v>5992</v>
      </c>
      <c r="AH1031" s="478" t="s">
        <v>105</v>
      </c>
      <c r="AI1031" s="628">
        <v>46282</v>
      </c>
      <c r="AJ1031" s="944"/>
      <c r="AK1031" s="944"/>
      <c r="AL1031" s="628">
        <v>46315</v>
      </c>
      <c r="AM1031" s="946"/>
      <c r="AN1031" s="946"/>
      <c r="AP1031" s="478" t="s">
        <v>6657</v>
      </c>
      <c r="AQ1031" s="478" t="s">
        <v>80</v>
      </c>
      <c r="AR1031" s="432" t="s">
        <v>6658</v>
      </c>
      <c r="AS1031" s="432" t="s">
        <v>6659</v>
      </c>
      <c r="AT1031" s="432" t="s">
        <v>6659</v>
      </c>
      <c r="AU103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1" s="944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44">
        <f>IF(ISERROR(PV_DATA[[#This Row],[New Ark PO status]]),"",_xlfn.XLOOKUP(PV_DATA[[#This Row],[SPTN-PVHK New Ark PO'#]],New_Ark_Data[Purchase order Number],New_Ark_Data[Estimated time of arrival],"",0))</f>
        <v>0</v>
      </c>
      <c r="AZ103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44">
        <f>IFERROR(PV_DATA[[#This Row],[ODP ETA Port]]+PV_DATA[[#This Row],[Customs/Leg3 Assumption]],"n/a")</f>
        <v>46322</v>
      </c>
      <c r="BB1031" s="939">
        <f>YEAR(PV_DATA[[#This Row],[ETA for New Ark update]])</f>
        <v>2026</v>
      </c>
      <c r="BC1031" s="478">
        <f>MONTH(PV_DATA[[#This Row],[ETA for New Ark update]])</f>
        <v>10</v>
      </c>
      <c r="BD1031" s="478">
        <f>IFERROR(_xlfn.ISOWEEKNUM(PV_DATA[[#This Row],[ETA for New Ark update]]),0)</f>
        <v>44</v>
      </c>
      <c r="BE1031" s="478">
        <f>_xlfn.XLOOKUP(PV_DATA[[#This Row],[New Ark SKU]],Table9[New Ark SKU],Table9[Total PCS per Pallet],,0)</f>
        <v>36</v>
      </c>
      <c r="BF1031" s="478">
        <f>_xlfn.XLOOKUP(PV_DATA[[#This Row],[New Ark SKU]],Table9[New Ark SKU],Table9[Total PCS per 40HQ Container],,0)</f>
        <v>936</v>
      </c>
      <c r="BG1031" s="478" t="str">
        <f>_xlfn.XLOOKUP(PV_DATA[[#This Row],[New Ark SKU]],Table9[New Ark SKU],Table9[Back Glass],,0)</f>
        <v>Black glazing</v>
      </c>
      <c r="BH1031" s="478" t="str">
        <f>_xlfn.XLOOKUP(PV_DATA[[#This Row],[PORT DESTINATION]],Table12[PORT DESTINATION],Table12[Cosco Line],,0)</f>
        <v>AEU</v>
      </c>
    </row>
    <row r="1032" spans="1:62" s="432" customFormat="1" ht="10.5" hidden="1">
      <c r="A1032" s="448" t="s">
        <v>6660</v>
      </c>
      <c r="B1032" s="440" t="s">
        <v>6661</v>
      </c>
      <c r="C1032" s="440" t="str">
        <f>IFERROR(LEFT(PV_DATA[[#This Row],[TCL REFERENCE]],FIND(".",PV_DATA[[#This Row],[TCL REFERENCE]],1)-1),"Main Line")</f>
        <v>26Aug003</v>
      </c>
      <c r="D1032" s="440" t="s">
        <v>63</v>
      </c>
      <c r="E1032" s="440" t="s">
        <v>144</v>
      </c>
      <c r="F1032" s="440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2" s="440" t="s">
        <v>402</v>
      </c>
      <c r="H1032" s="440" t="s">
        <v>2394</v>
      </c>
      <c r="I1032" s="463" t="s">
        <v>1395</v>
      </c>
      <c r="J1032" s="440" t="s">
        <v>2394</v>
      </c>
      <c r="K1032" s="440" t="s">
        <v>6662</v>
      </c>
      <c r="L1032" s="432">
        <v>1</v>
      </c>
      <c r="M1032" s="432" t="s">
        <v>840</v>
      </c>
      <c r="N1032" s="462">
        <v>46237</v>
      </c>
      <c r="O1032" s="432" t="s">
        <v>4526</v>
      </c>
      <c r="P1032" s="432" t="s">
        <v>71</v>
      </c>
      <c r="Q1032" s="432" t="s">
        <v>72</v>
      </c>
      <c r="R1032" s="432" t="str">
        <f>_xlfn.XLOOKUP(PV_DATA[[#This Row],[New Ark SKU]],Table9[New Ark SKU],Table9[Connector],,0)</f>
        <v>EVO2A</v>
      </c>
      <c r="S1032" s="443" t="str">
        <f>_xlfn.XLOOKUP(PV_DATA[[#This Row],[New Ark SKU]],Table9[New Ark SKU],Table9[Cable],,0)</f>
        <v>±1200mm</v>
      </c>
      <c r="T1032" s="443">
        <v>500</v>
      </c>
      <c r="U1032" s="1212">
        <f>864*5</f>
        <v>4320</v>
      </c>
      <c r="V1032" s="449">
        <f>PV_DATA[[#This Row],[QUANTITY]]*PV_DATA[[#This Row],[WATT]]/1000000</f>
        <v>2.16</v>
      </c>
      <c r="W1032" s="467">
        <f>PV_DATA[[#This Row],[QUANTITY]]/PV_DATA[[#This Row],[Qty/Pallet]]</f>
        <v>120</v>
      </c>
      <c r="X1032" s="1114">
        <f>PV_DATA[[#This Row],[QUANTITY]]/PV_DATA[[#This Row],[Qty/CT]]</f>
        <v>5</v>
      </c>
      <c r="Y1032" s="432" t="s">
        <v>2468</v>
      </c>
      <c r="AA1032" s="858" t="s">
        <v>6663</v>
      </c>
      <c r="AB1032" s="442">
        <v>46276</v>
      </c>
      <c r="AC1032" s="468">
        <f>IF(PV_DATA[[#This Row],[Pick-Up Date]]&lt;&gt;"",_xlfn.ISOWEEKNUM(PV_DATA[[#This Row],[Pick-Up Date]]),"")</f>
        <v>37</v>
      </c>
      <c r="AD1032" s="432" t="s">
        <v>6664</v>
      </c>
      <c r="AF1032" s="448" t="s">
        <v>123</v>
      </c>
      <c r="AG1032" s="448" t="s">
        <v>123</v>
      </c>
      <c r="AH1032" s="432" t="s">
        <v>888</v>
      </c>
      <c r="AI1032" s="442">
        <v>46279</v>
      </c>
      <c r="AJ1032" s="442"/>
      <c r="AK1032" s="442"/>
      <c r="AL1032" s="442">
        <v>46330</v>
      </c>
      <c r="AM1032" s="442"/>
      <c r="AN1032" s="588"/>
      <c r="AP1032" s="432" t="s">
        <v>6665</v>
      </c>
      <c r="AQ1032" s="432" t="s">
        <v>80</v>
      </c>
      <c r="AR1032" s="432" t="s">
        <v>6666</v>
      </c>
      <c r="AS1032" s="432" t="s">
        <v>6667</v>
      </c>
      <c r="AT1032" s="432" t="s">
        <v>6667</v>
      </c>
      <c r="AU10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32" s="442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2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2" t="str">
        <f>IF(ISERROR(PV_DATA[[#This Row],[New Ark PO status]]),"",_xlfn.XLOOKUP(PV_DATA[[#This Row],[SPTN-PVHK New Ark PO'#]],New_Ark_Data[Purchase order Number],New_Ark_Data[Estimated time of arrival],"",0))</f>
        <v/>
      </c>
      <c r="AZ10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2" s="442">
        <f>IFERROR(PV_DATA[[#This Row],[ODP ETA Port]]+PV_DATA[[#This Row],[Customs/Leg3 Assumption]],"n/a")</f>
        <v>46330</v>
      </c>
      <c r="BB1032" s="443">
        <f>YEAR(PV_DATA[[#This Row],[ETA for New Ark update]])</f>
        <v>2026</v>
      </c>
      <c r="BC1032" s="432">
        <f>MONTH(PV_DATA[[#This Row],[ETA for New Ark update]])</f>
        <v>11</v>
      </c>
      <c r="BD1032" s="432">
        <f>IFERROR(_xlfn.ISOWEEKNUM(PV_DATA[[#This Row],[ETA for New Ark update]]),0)</f>
        <v>45</v>
      </c>
      <c r="BE1032" s="432">
        <f>_xlfn.XLOOKUP(PV_DATA[[#This Row],[New Ark SKU]],Table9[New Ark SKU],Table9[Total PCS per Pallet],,0)</f>
        <v>36</v>
      </c>
      <c r="BF1032" s="432">
        <f>_xlfn.XLOOKUP(PV_DATA[[#This Row],[New Ark SKU]],Table9[New Ark SKU],Table9[Total PCS per 40HQ Container],,0)</f>
        <v>864</v>
      </c>
      <c r="BG1032" s="432" t="str">
        <f>_xlfn.XLOOKUP(PV_DATA[[#This Row],[New Ark SKU]],Table9[New Ark SKU],Table9[Back Glass],,0)</f>
        <v>Black glazing</v>
      </c>
      <c r="BH1032" s="624" t="str">
        <f>_xlfn.XLOOKUP(PV_DATA[[#This Row],[PORT DESTINATION]],Table12[PORT DESTINATION],Table12[Cosco Line],,0)</f>
        <v>AEU</v>
      </c>
    </row>
    <row r="1033" spans="1:62" ht="10.5" hidden="1">
      <c r="A1033" s="730" t="s">
        <v>6668</v>
      </c>
      <c r="B1033" s="463" t="s">
        <v>111</v>
      </c>
      <c r="C1033" s="463" t="str">
        <f>IFERROR(LEFT(PV_DATA[[#This Row],[TCL REFERENCE]],FIND(".",PV_DATA[[#This Row],[TCL REFERENCE]],1)-1),"Main Line")</f>
        <v>26Aug020</v>
      </c>
      <c r="D1033" s="463" t="s">
        <v>63</v>
      </c>
      <c r="E1033" s="440" t="s">
        <v>64</v>
      </c>
      <c r="F1033" s="440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0" t="s">
        <v>402</v>
      </c>
      <c r="H1033" s="463" t="s">
        <v>67</v>
      </c>
      <c r="I1033" s="440" t="s">
        <v>689</v>
      </c>
      <c r="J1033" s="431" t="s">
        <v>96</v>
      </c>
      <c r="K1033" s="431"/>
      <c r="L1033" s="431"/>
      <c r="M1033" s="431" t="s">
        <v>6273</v>
      </c>
      <c r="N1033" s="462">
        <v>46238</v>
      </c>
      <c r="O1033" s="431" t="s">
        <v>132</v>
      </c>
      <c r="P1033" s="431" t="s">
        <v>1062</v>
      </c>
      <c r="Q1033" s="431" t="s">
        <v>1063</v>
      </c>
      <c r="R1033" s="432" t="str">
        <f>_xlfn.XLOOKUP(PV_DATA[[#This Row],[New Ark SKU]],Table9[New Ark SKU],Table9[Connector],,0)</f>
        <v>EVO2A</v>
      </c>
      <c r="S1033" s="443" t="str">
        <f>_xlfn.XLOOKUP(PV_DATA[[#This Row],[New Ark SKU]],Table9[New Ark SKU],Table9[Cable],,0)</f>
        <v>±1200mm</v>
      </c>
      <c r="T1033" s="443">
        <v>470</v>
      </c>
      <c r="U1033" s="1212">
        <v>4320</v>
      </c>
      <c r="V1033" s="449">
        <f>PV_DATA[[#This Row],[QUANTITY]]*PV_DATA[[#This Row],[WATT]]/1000000</f>
        <v>2.0304000000000002</v>
      </c>
      <c r="W1033" s="467">
        <f>PV_DATA[[#This Row],[QUANTITY]]/PV_DATA[[#This Row],[Qty/Pallet]]</f>
        <v>120</v>
      </c>
      <c r="X1033" s="1114">
        <f>PV_DATA[[#This Row],[QUANTITY]]/PV_DATA[[#This Row],[Qty/CT]]</f>
        <v>5</v>
      </c>
      <c r="Y1033" s="432" t="s">
        <v>2470</v>
      </c>
      <c r="Z1033" s="432"/>
      <c r="AA1033" s="432" t="s">
        <v>5848</v>
      </c>
      <c r="AB1033" s="442">
        <v>46280</v>
      </c>
      <c r="AC1033" s="468">
        <f>IF(PV_DATA[[#This Row],[Pick-Up Date]]&lt;&gt;"",_xlfn.ISOWEEKNUM(PV_DATA[[#This Row],[Pick-Up Date]]),"")</f>
        <v>38</v>
      </c>
      <c r="AD1033" s="440"/>
      <c r="AE1033" s="431"/>
      <c r="AF1033" s="431" t="s">
        <v>122</v>
      </c>
      <c r="AG1033" s="431" t="s">
        <v>123</v>
      </c>
      <c r="AH1033" s="432" t="s">
        <v>105</v>
      </c>
      <c r="AI1033" s="442">
        <v>46279</v>
      </c>
      <c r="AJ1033" s="442">
        <v>46285</v>
      </c>
      <c r="AK1033" s="442"/>
      <c r="AL1033" s="442">
        <v>46319</v>
      </c>
      <c r="AM1033" s="442"/>
      <c r="AN1033" s="588"/>
      <c r="AO1033" s="432"/>
      <c r="AP1033" s="432" t="s">
        <v>6669</v>
      </c>
      <c r="AQ1033" s="432" t="s">
        <v>161</v>
      </c>
      <c r="AR1033" s="432" t="s">
        <v>6670</v>
      </c>
      <c r="AS1033" s="432"/>
      <c r="AT1033" s="432" t="s">
        <v>6671</v>
      </c>
      <c r="AU10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3" s="438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38">
        <f>IF(ISERROR(PV_DATA[[#This Row],[New Ark PO status]]),"",_xlfn.XLOOKUP(PV_DATA[[#This Row],[SPTN-PVHK New Ark PO'#]],New_Ark_Data[Purchase order Number],New_Ark_Data[Estimated time of arrival],"",0))</f>
        <v>0</v>
      </c>
      <c r="AZ10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38">
        <f>IFERROR(PV_DATA[[#This Row],[ODP ETA Port]]+PV_DATA[[#This Row],[Customs/Leg3 Assumption]],"n/a")</f>
        <v>46326</v>
      </c>
      <c r="BB1033" s="434">
        <f>YEAR(PV_DATA[[#This Row],[ETA for New Ark update]])</f>
        <v>2026</v>
      </c>
      <c r="BC1033" s="431">
        <f>MONTH(PV_DATA[[#This Row],[ETA for New Ark update]])</f>
        <v>10</v>
      </c>
      <c r="BD1033" s="431">
        <f>IFERROR(_xlfn.ISOWEEKNUM(PV_DATA[[#This Row],[ETA for New Ark update]]),0)</f>
        <v>44</v>
      </c>
      <c r="BE1033" s="432">
        <f>_xlfn.XLOOKUP(PV_DATA[[#This Row],[New Ark SKU]],Table9[New Ark SKU],Table9[Total PCS per Pallet],,0)</f>
        <v>36</v>
      </c>
      <c r="BF1033" s="432">
        <f>_xlfn.XLOOKUP(PV_DATA[[#This Row],[New Ark SKU]],Table9[New Ark SKU],Table9[Total PCS per 40HQ Container],,0)</f>
        <v>864</v>
      </c>
      <c r="BG1033" s="432" t="str">
        <f>_xlfn.XLOOKUP(PV_DATA[[#This Row],[New Ark SKU]],Table9[New Ark SKU],Table9[Back Glass],,0)</f>
        <v>White glazing</v>
      </c>
      <c r="BH1033" s="432" t="str">
        <f>_xlfn.XLOOKUP(PV_DATA[[#This Row],[PORT DESTINATION]],Table12[PORT DESTINATION],Table12[Cosco Line],,0)</f>
        <v>AEU</v>
      </c>
      <c r="BJ1033" s="431"/>
    </row>
    <row r="1034" spans="1:62" s="432" customFormat="1" ht="10.5" hidden="1">
      <c r="A1034" s="729" t="s">
        <v>6672</v>
      </c>
      <c r="B1034" s="728" t="s">
        <v>111</v>
      </c>
      <c r="C1034" s="440" t="str">
        <f>IFERROR(LEFT(PV_DATA[[#This Row],[TCL REFERENCE]],FIND(".",PV_DATA[[#This Row],[TCL REFERENCE]],1)-1),"Main Line")</f>
        <v>26Jul009</v>
      </c>
      <c r="D1034" s="728" t="s">
        <v>63</v>
      </c>
      <c r="E1034" s="440" t="s">
        <v>64</v>
      </c>
      <c r="F1034" s="72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402</v>
      </c>
      <c r="H1034" s="440" t="s">
        <v>67</v>
      </c>
      <c r="I1034" s="440" t="s">
        <v>689</v>
      </c>
      <c r="J1034" s="432" t="s">
        <v>96</v>
      </c>
      <c r="L1034" s="621"/>
      <c r="M1034" s="432" t="s">
        <v>68</v>
      </c>
      <c r="N1034" s="632">
        <v>46251</v>
      </c>
      <c r="O1034" s="621" t="s">
        <v>5374</v>
      </c>
      <c r="P1034" s="621" t="s">
        <v>6652</v>
      </c>
      <c r="Q1034" s="621" t="s">
        <v>6653</v>
      </c>
      <c r="R1034" s="621" t="str">
        <f>_xlfn.XLOOKUP(PV_DATA[[#This Row],[New Ark SKU]],Table9[New Ark SKU],Table9[Connector],,0)</f>
        <v>EVO2A</v>
      </c>
      <c r="S1034" s="622" t="str">
        <f>_xlfn.XLOOKUP(PV_DATA[[#This Row],[New Ark SKU]],Table9[New Ark SKU],Table9[Cable],,0)</f>
        <v>±1200mm</v>
      </c>
      <c r="T1034" s="622">
        <v>475</v>
      </c>
      <c r="U1034" s="1156">
        <f>936*3</f>
        <v>2808</v>
      </c>
      <c r="V1034" s="626">
        <f>PV_DATA[[#This Row],[QUANTITY]]*PV_DATA[[#This Row],[WATT]]/1000000</f>
        <v>1.3338000000000001</v>
      </c>
      <c r="W1034" s="467">
        <f>PV_DATA[[#This Row],[QUANTITY]]/PV_DATA[[#This Row],[Qty/Pallet]]</f>
        <v>78</v>
      </c>
      <c r="X1034" s="1114">
        <f>PV_DATA[[#This Row],[QUANTITY]]/PV_DATA[[#This Row],[Qty/CT]]</f>
        <v>3</v>
      </c>
      <c r="Y1034" s="432" t="s">
        <v>2467</v>
      </c>
      <c r="Z1034" s="432" t="str">
        <f>IF(AN1034&lt;&gt;"","COMPLETED",IF(AK1034&lt;&gt;"","IN-TRANSIT",""))</f>
        <v/>
      </c>
      <c r="AA1034" s="858">
        <v>46260</v>
      </c>
      <c r="AB1034" s="442">
        <v>46280</v>
      </c>
      <c r="AC1034" s="468">
        <f>IF(PV_DATA[[#This Row],[Pick-Up Date]]&lt;&gt;"",_xlfn.ISOWEEKNUM(PV_DATA[[#This Row],[Pick-Up Date]]),"")</f>
        <v>38</v>
      </c>
      <c r="AD1034" s="621"/>
      <c r="AE1034" s="621"/>
      <c r="AF1034" s="621" t="s">
        <v>122</v>
      </c>
      <c r="AG1034" s="621" t="s">
        <v>123</v>
      </c>
      <c r="AH1034" s="432" t="s">
        <v>105</v>
      </c>
      <c r="AI1034" s="628">
        <v>46279</v>
      </c>
      <c r="AJ1034" s="442">
        <v>46285</v>
      </c>
      <c r="AK1034" s="442" t="str">
        <f>IFERROR(IF(VLOOKUP(AT1034,Vessel!A:F,5,FALSE)=0,"",VLOOKUP(AT1034,Vessel!A:F,5,FALSE)),"")</f>
        <v/>
      </c>
      <c r="AL1034" s="628">
        <v>46319</v>
      </c>
      <c r="AM1034" s="1029" t="str">
        <f>IFERROR(VLOOKUP(AT1034, Vessel!A:H, 8, FALSE), "")</f>
        <v/>
      </c>
      <c r="AN1034" s="588" t="str">
        <f>IFERROR(IF(VLOOKUP(AT1034,Vessel!A:I,9,FALSE)=0,"",VLOOKUP(AT1034,Vessel!A:I,9,FALSE)),"")</f>
        <v/>
      </c>
      <c r="AO1034" s="621"/>
      <c r="AP1034" s="432" t="s">
        <v>6669</v>
      </c>
      <c r="AQ1034" s="432" t="s">
        <v>161</v>
      </c>
      <c r="AR1034" s="621" t="s">
        <v>6670</v>
      </c>
      <c r="AS1034" s="621"/>
      <c r="AT1034" s="432" t="s">
        <v>6673</v>
      </c>
      <c r="AU10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34" s="621"/>
      <c r="AW1034" s="628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28" t="str">
        <f>IF(ISERROR(PV_DATA[[#This Row],[New Ark PO status]]),"",_xlfn.XLOOKUP(PV_DATA[[#This Row],[SPTN-PVHK New Ark PO'#]],New_Ark_Data[Purchase order Number],New_Ark_Data[Estimated time of arrival],"",0))</f>
        <v/>
      </c>
      <c r="AZ103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28">
        <f>IFERROR(PV_DATA[[#This Row],[ODP ETA Port]]+PV_DATA[[#This Row],[Customs/Leg3 Assumption]],"n/a")</f>
        <v>46326</v>
      </c>
      <c r="BB1034" s="622">
        <f>YEAR(PV_DATA[[#This Row],[ETA for New Ark update]])</f>
        <v>2026</v>
      </c>
      <c r="BC1034" s="621">
        <f>MONTH(PV_DATA[[#This Row],[ETA for New Ark update]])</f>
        <v>10</v>
      </c>
      <c r="BD1034" s="621">
        <f>IFERROR(_xlfn.ISOWEEKNUM(PV_DATA[[#This Row],[ETA for New Ark update]]),0)</f>
        <v>44</v>
      </c>
      <c r="BE1034" s="621">
        <f>_xlfn.XLOOKUP(PV_DATA[[#This Row],[New Ark SKU]],Table9[New Ark SKU],Table9[Total PCS per Pallet],,0)</f>
        <v>36</v>
      </c>
      <c r="BF1034" s="621">
        <f>_xlfn.XLOOKUP(PV_DATA[[#This Row],[New Ark SKU]],Table9[New Ark SKU],Table9[Total PCS per 40HQ Container],,0)</f>
        <v>936</v>
      </c>
      <c r="BG1034" s="621" t="str">
        <f>_xlfn.XLOOKUP(PV_DATA[[#This Row],[New Ark SKU]],Table9[New Ark SKU],Table9[Back Glass],,0)</f>
        <v>Black glazing</v>
      </c>
      <c r="BH1034" s="631" t="str">
        <f>_xlfn.XLOOKUP(PV_DATA[[#This Row],[PORT DESTINATION]],Table12[PORT DESTINATION],Table12[Cosco Line],,0)</f>
        <v>AEU</v>
      </c>
    </row>
    <row r="1035" spans="1:62" ht="10.5" hidden="1">
      <c r="A1035" s="730" t="s">
        <v>6674</v>
      </c>
      <c r="B1035" s="463" t="s">
        <v>111</v>
      </c>
      <c r="C1035" s="463" t="str">
        <f>IFERROR(LEFT(PV_DATA[[#This Row],[TCL REFERENCE]],FIND(".",PV_DATA[[#This Row],[TCL REFERENCE]],1)-1),"Main Line")</f>
        <v>26Aug020</v>
      </c>
      <c r="D1035" s="463" t="s">
        <v>63</v>
      </c>
      <c r="E1035" s="440" t="s">
        <v>64</v>
      </c>
      <c r="F1035" s="440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63" t="s">
        <v>67</v>
      </c>
      <c r="I1035" s="440" t="s">
        <v>689</v>
      </c>
      <c r="J1035" s="431" t="s">
        <v>96</v>
      </c>
      <c r="K1035" s="431"/>
      <c r="L1035" s="431"/>
      <c r="M1035" s="431" t="s">
        <v>6273</v>
      </c>
      <c r="N1035" s="462">
        <v>46238</v>
      </c>
      <c r="O1035" s="431" t="s">
        <v>132</v>
      </c>
      <c r="P1035" s="431" t="s">
        <v>1062</v>
      </c>
      <c r="Q1035" s="431" t="s">
        <v>1063</v>
      </c>
      <c r="R1035" s="432" t="str">
        <f>_xlfn.XLOOKUP(PV_DATA[[#This Row],[New Ark SKU]],Table9[New Ark SKU],Table9[Connector],,0)</f>
        <v>EVO2A</v>
      </c>
      <c r="S1035" s="443" t="str">
        <f>_xlfn.XLOOKUP(PV_DATA[[#This Row],[New Ark SKU]],Table9[New Ark SKU],Table9[Cable],,0)</f>
        <v>±1200mm</v>
      </c>
      <c r="T1035" s="443">
        <v>470</v>
      </c>
      <c r="U1035" s="1212">
        <v>1728</v>
      </c>
      <c r="V1035" s="449">
        <f>PV_DATA[[#This Row],[QUANTITY]]*PV_DATA[[#This Row],[WATT]]/1000000</f>
        <v>0.81215999999999999</v>
      </c>
      <c r="W1035" s="467">
        <f>PV_DATA[[#This Row],[QUANTITY]]/PV_DATA[[#This Row],[Qty/Pallet]]</f>
        <v>48</v>
      </c>
      <c r="X1035" s="1114">
        <f>PV_DATA[[#This Row],[QUANTITY]]/PV_DATA[[#This Row],[Qty/CT]]</f>
        <v>2</v>
      </c>
      <c r="Y1035" s="432" t="s">
        <v>2470</v>
      </c>
      <c r="Z1035" s="432"/>
      <c r="AA1035" s="432" t="s">
        <v>5848</v>
      </c>
      <c r="AB1035" s="442">
        <v>46280</v>
      </c>
      <c r="AC1035" s="468">
        <f>IF(PV_DATA[[#This Row],[Pick-Up Date]]&lt;&gt;"",_xlfn.ISOWEEKNUM(PV_DATA[[#This Row],[Pick-Up Date]]),"")</f>
        <v>38</v>
      </c>
      <c r="AD1035" s="440"/>
      <c r="AE1035" s="431"/>
      <c r="AF1035" s="431" t="s">
        <v>122</v>
      </c>
      <c r="AG1035" s="431" t="s">
        <v>123</v>
      </c>
      <c r="AH1035" s="432" t="s">
        <v>105</v>
      </c>
      <c r="AI1035" s="628">
        <v>46279</v>
      </c>
      <c r="AJ1035" s="442">
        <v>46285</v>
      </c>
      <c r="AK1035" s="442" t="str">
        <f>IFERROR(IF(VLOOKUP(AT1035,Vessel!A:F,5,FALSE)=0,"",VLOOKUP(AT1035,Vessel!A:F,5,FALSE)),"")</f>
        <v/>
      </c>
      <c r="AL1035" s="628">
        <v>46319</v>
      </c>
      <c r="AM1035" s="1029" t="str">
        <f>IFERROR(VLOOKUP(AT1035, Vessel!A:H, 8, FALSE), "")</f>
        <v/>
      </c>
      <c r="AN1035" s="588" t="str">
        <f>IFERROR(IF(VLOOKUP(AT1035,Vessel!A:I,9,FALSE)=0,"",VLOOKUP(AT1035,Vessel!A:I,9,FALSE)),"")</f>
        <v/>
      </c>
      <c r="AO1035" s="621"/>
      <c r="AP1035" s="432" t="s">
        <v>6669</v>
      </c>
      <c r="AQ1035" s="431" t="s">
        <v>161</v>
      </c>
      <c r="AR1035" s="431" t="s">
        <v>6670</v>
      </c>
      <c r="AS1035" s="431"/>
      <c r="AT1035" s="431" t="s">
        <v>6673</v>
      </c>
      <c r="AU10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5" s="438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8">
        <f>IF(ISERROR(PV_DATA[[#This Row],[New Ark PO status]]),"",_xlfn.XLOOKUP(PV_DATA[[#This Row],[SPTN-PVHK New Ark PO'#]],New_Ark_Data[Purchase order Number],New_Ark_Data[Estimated time of arrival],"",0))</f>
        <v>0</v>
      </c>
      <c r="AZ10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38">
        <f>IFERROR(PV_DATA[[#This Row],[ODP ETA Port]]+PV_DATA[[#This Row],[Customs/Leg3 Assumption]],"n/a")</f>
        <v>46326</v>
      </c>
      <c r="BB1035" s="434">
        <f>YEAR(PV_DATA[[#This Row],[ETA for New Ark update]])</f>
        <v>2026</v>
      </c>
      <c r="BC1035" s="431">
        <f>MONTH(PV_DATA[[#This Row],[ETA for New Ark update]])</f>
        <v>10</v>
      </c>
      <c r="BD1035" s="431">
        <f>IFERROR(_xlfn.ISOWEEKNUM(PV_DATA[[#This Row],[ETA for New Ark update]]),0)</f>
        <v>44</v>
      </c>
      <c r="BE1035" s="432">
        <f>_xlfn.XLOOKUP(PV_DATA[[#This Row],[New Ark SKU]],Table9[New Ark SKU],Table9[Total PCS per Pallet],,0)</f>
        <v>36</v>
      </c>
      <c r="BF1035" s="432">
        <f>_xlfn.XLOOKUP(PV_DATA[[#This Row],[New Ark SKU]],Table9[New Ark SKU],Table9[Total PCS per 40HQ Container],,0)</f>
        <v>864</v>
      </c>
      <c r="BG1035" s="432" t="str">
        <f>_xlfn.XLOOKUP(PV_DATA[[#This Row],[New Ark SKU]],Table9[New Ark SKU],Table9[Back Glass],,0)</f>
        <v>White glazing</v>
      </c>
      <c r="BH1035" s="432" t="str">
        <f>_xlfn.XLOOKUP(PV_DATA[[#This Row],[PORT DESTINATION]],Table12[PORT DESTINATION],Table12[Cosco Line],,0)</f>
        <v>AEU</v>
      </c>
      <c r="BJ1035" s="431"/>
    </row>
    <row r="1036" spans="1:62" s="860" customFormat="1" ht="10.5" hidden="1">
      <c r="A1036" s="729" t="s">
        <v>6675</v>
      </c>
      <c r="B1036" s="728" t="s">
        <v>111</v>
      </c>
      <c r="C1036" s="440" t="str">
        <f>IFERROR(LEFT(PV_DATA[[#This Row],[TCL REFERENCE]],FIND(".",PV_DATA[[#This Row],[TCL REFERENCE]],1)-1),"Main Line")</f>
        <v>26Jun033</v>
      </c>
      <c r="D1036" s="728" t="s">
        <v>63</v>
      </c>
      <c r="E1036" s="440" t="s">
        <v>64</v>
      </c>
      <c r="F1036" s="728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402</v>
      </c>
      <c r="H1036" s="440" t="s">
        <v>67</v>
      </c>
      <c r="I1036" s="440" t="s">
        <v>689</v>
      </c>
      <c r="J1036" s="432" t="s">
        <v>96</v>
      </c>
      <c r="K1036" s="1132"/>
      <c r="L1036" s="1132"/>
      <c r="M1036" s="432" t="s">
        <v>68</v>
      </c>
      <c r="N1036" s="632">
        <v>46209</v>
      </c>
      <c r="O1036" s="621" t="s">
        <v>70</v>
      </c>
      <c r="P1036" s="621" t="s">
        <v>5744</v>
      </c>
      <c r="Q1036" s="621" t="s">
        <v>1484</v>
      </c>
      <c r="R1036" s="621" t="str">
        <f>_xlfn.XLOOKUP(PV_DATA[[#This Row],[New Ark SKU]],Table9[New Ark SKU],Table9[Connector],,0)</f>
        <v>EVO2A</v>
      </c>
      <c r="S1036" s="622" t="str">
        <f>_xlfn.XLOOKUP(PV_DATA[[#This Row],[New Ark SKU]],Table9[New Ark SKU],Table9[Cable],,0)</f>
        <v>±1400mm</v>
      </c>
      <c r="T1036" s="622">
        <v>725</v>
      </c>
      <c r="U1036" s="1156">
        <v>2970</v>
      </c>
      <c r="V1036" s="626">
        <f>PV_DATA[[#This Row],[QUANTITY]]*PV_DATA[[#This Row],[WATT]]/1000000</f>
        <v>2.1532499999999999</v>
      </c>
      <c r="W1036" s="467">
        <f>PV_DATA[[#This Row],[QUANTITY]]/PV_DATA[[#This Row],[Qty/Pallet]]</f>
        <v>90</v>
      </c>
      <c r="X1036" s="1118">
        <f>PV_DATA[[#This Row],[QUANTITY]]/PV_DATA[[#This Row],[Qty/CT]]</f>
        <v>5</v>
      </c>
      <c r="Y1036" s="432" t="s">
        <v>6676</v>
      </c>
      <c r="Z1036" s="432" t="str">
        <f>IF(AN1036&lt;&gt;"","COMPLETED",IF(AK1036&lt;&gt;"","IN-TRANSIT",""))</f>
        <v/>
      </c>
      <c r="AA1036" s="432" t="s">
        <v>5745</v>
      </c>
      <c r="AB1036" s="628">
        <v>46280</v>
      </c>
      <c r="AC1036" s="629">
        <f>IF(PV_DATA[[#This Row],[Pick-Up Date]]&lt;&gt;"",_xlfn.ISOWEEKNUM(PV_DATA[[#This Row],[Pick-Up Date]]),"")</f>
        <v>38</v>
      </c>
      <c r="AD1036" s="621"/>
      <c r="AE1036" s="621"/>
      <c r="AF1036" s="621" t="s">
        <v>122</v>
      </c>
      <c r="AG1036" s="621" t="s">
        <v>123</v>
      </c>
      <c r="AH1036" s="432" t="s">
        <v>105</v>
      </c>
      <c r="AI1036" s="628">
        <v>46279</v>
      </c>
      <c r="AJ1036" s="628" t="str">
        <f>IFERROR(VLOOKUP(AT1036, Vessel!A:D, 4, FALSE), "")</f>
        <v/>
      </c>
      <c r="AK1036" s="442" t="str">
        <f>IFERROR(IF(VLOOKUP(AT1036,Vessel!A:F,5,FALSE)=0,"",VLOOKUP(AT1036,Vessel!A:F,5,FALSE)),"")</f>
        <v/>
      </c>
      <c r="AL1036" s="628">
        <v>46319</v>
      </c>
      <c r="AM1036" s="1136"/>
      <c r="AN1036" s="1136"/>
      <c r="AO1036" s="1132"/>
      <c r="AP1036" s="432" t="s">
        <v>6669</v>
      </c>
      <c r="AQ1036" s="432" t="s">
        <v>161</v>
      </c>
      <c r="AR1036" s="1132" t="s">
        <v>6677</v>
      </c>
      <c r="AS1036" s="1132"/>
      <c r="AT1036" s="1132" t="s">
        <v>6678</v>
      </c>
      <c r="AU1036" s="1132"/>
      <c r="AV1036" s="1132"/>
      <c r="AW1036" s="1134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134">
        <f>IF(ISERROR(PV_DATA[[#This Row],[New Ark PO status]]),"",_xlfn.XLOOKUP(PV_DATA[[#This Row],[SPTN-PVHK New Ark PO'#]],New_Ark_Data[Purchase order Number],New_Ark_Data[Estimated time of arrival],"",0))</f>
        <v>0</v>
      </c>
      <c r="AZ1036" s="11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134">
        <f>IFERROR(PV_DATA[[#This Row],[ODP ETA Port]]+PV_DATA[[#This Row],[Customs/Leg3 Assumption]],"n/a")</f>
        <v>46326</v>
      </c>
      <c r="BB1036" s="1133">
        <f>YEAR(PV_DATA[[#This Row],[ETA for New Ark update]])</f>
        <v>2026</v>
      </c>
      <c r="BC1036" s="1132">
        <f>MONTH(PV_DATA[[#This Row],[ETA for New Ark update]])</f>
        <v>10</v>
      </c>
      <c r="BD1036" s="1132">
        <f>IFERROR(_xlfn.ISOWEEKNUM(PV_DATA[[#This Row],[ETA for New Ark update]]),0)</f>
        <v>44</v>
      </c>
      <c r="BE1036" s="1132">
        <f>_xlfn.XLOOKUP(PV_DATA[[#This Row],[New Ark SKU]],Table9[New Ark SKU],Table9[Total PCS per Pallet],,0)</f>
        <v>33</v>
      </c>
      <c r="BF1036" s="1132">
        <f>_xlfn.XLOOKUP(PV_DATA[[#This Row],[New Ark SKU]],Table9[New Ark SKU],Table9[Total PCS per 40HQ Container],,0)</f>
        <v>594</v>
      </c>
      <c r="BG1036" s="432" t="str">
        <f>_xlfn.XLOOKUP(PV_DATA[[#This Row],[New Ark SKU]],Table9[New Ark SKU],Table9[Back Glass],,0)</f>
        <v>Transparent</v>
      </c>
      <c r="BH1036" s="1137" t="str">
        <f>_xlfn.XLOOKUP(PV_DATA[[#This Row],[PORT DESTINATION]],Table12[PORT DESTINATION],Table12[Cosco Line],,0)</f>
        <v>AEU</v>
      </c>
    </row>
    <row r="1037" spans="1:62" s="432" customFormat="1" ht="10.5" hidden="1">
      <c r="A1037" s="448" t="s">
        <v>6679</v>
      </c>
      <c r="B1037" s="440" t="s">
        <v>111</v>
      </c>
      <c r="C1037" s="440" t="str">
        <f>IFERROR(LEFT(PV_DATA[[#This Row],[TCL REFERENCE]],FIND(".",PV_DATA[[#This Row],[TCL REFERENCE]],1)-1),"Main Line")</f>
        <v>26Jul009</v>
      </c>
      <c r="D1037" s="440" t="s">
        <v>63</v>
      </c>
      <c r="E1037" s="440" t="s">
        <v>64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40" t="s">
        <v>67</v>
      </c>
      <c r="I1037" s="440" t="s">
        <v>689</v>
      </c>
      <c r="J1037" s="432" t="s">
        <v>96</v>
      </c>
      <c r="M1037" s="432" t="s">
        <v>68</v>
      </c>
      <c r="N1037" s="462">
        <v>46251</v>
      </c>
      <c r="O1037" s="432" t="s">
        <v>5374</v>
      </c>
      <c r="P1037" s="432" t="s">
        <v>6652</v>
      </c>
      <c r="Q1037" s="432" t="s">
        <v>6653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±1200mm</v>
      </c>
      <c r="T1037" s="443">
        <v>475</v>
      </c>
      <c r="U1037" s="1212">
        <v>936</v>
      </c>
      <c r="V1037" s="449">
        <f>PV_DATA[[#This Row],[QUANTITY]]*PV_DATA[[#This Row],[WATT]]/1000000</f>
        <v>0.4446</v>
      </c>
      <c r="W1037" s="467">
        <f>PV_DATA[[#This Row],[QUANTITY]]/PV_DATA[[#This Row],[Qty/Pallet]]</f>
        <v>26</v>
      </c>
      <c r="X1037" s="1114">
        <f>PV_DATA[[#This Row],[QUANTITY]]/PV_DATA[[#This Row],[Qty/CT]]</f>
        <v>1</v>
      </c>
      <c r="Y1037" s="432" t="s">
        <v>2467</v>
      </c>
      <c r="Z1037" s="432" t="str">
        <f>IF(AN1037&lt;&gt;"","COMPLETED",IF(AK1037&lt;&gt;"","IN-TRANSIT",""))</f>
        <v/>
      </c>
      <c r="AA1037" s="663">
        <v>46260</v>
      </c>
      <c r="AB1037" s="442">
        <v>46280</v>
      </c>
      <c r="AC1037" s="468">
        <f>IF(PV_DATA[[#This Row],[Pick-Up Date]]&lt;&gt;"",_xlfn.ISOWEEKNUM(PV_DATA[[#This Row],[Pick-Up Date]]),"")</f>
        <v>38</v>
      </c>
      <c r="AF1037" s="432" t="s">
        <v>122</v>
      </c>
      <c r="AG1037" s="432" t="s">
        <v>123</v>
      </c>
      <c r="AH1037" s="432" t="s">
        <v>105</v>
      </c>
      <c r="AI1037" s="628">
        <v>46279</v>
      </c>
      <c r="AJ1037" s="442"/>
      <c r="AK1037" s="442" t="str">
        <f>IFERROR(IF(VLOOKUP(AT1037,Vessel!A:F,5,FALSE)=0,"",VLOOKUP(AT1037,Vessel!A:F,5,FALSE)),"")</f>
        <v/>
      </c>
      <c r="AL1037" s="628">
        <v>46319</v>
      </c>
      <c r="AM1037" s="442"/>
      <c r="AN1037" s="588" t="str">
        <f>IFERROR(IF(VLOOKUP(AT1037,Vessel!A:I,9,FALSE)=0,"",VLOOKUP(AT1037,Vessel!A:I,9,FALSE)),"")</f>
        <v/>
      </c>
      <c r="AP1037" s="432" t="s">
        <v>6669</v>
      </c>
      <c r="AQ1037" s="432" t="s">
        <v>161</v>
      </c>
      <c r="AR1037" s="432" t="s">
        <v>6677</v>
      </c>
      <c r="AT1037" s="432" t="s">
        <v>6680</v>
      </c>
      <c r="AU10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7" s="442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2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2">
        <f>IFERROR(PV_DATA[[#This Row],[ODP ETA Port]]+PV_DATA[[#This Row],[Customs/Leg3 Assumption]],"n/a")</f>
        <v>46326</v>
      </c>
      <c r="BB1037" s="443">
        <f>YEAR(PV_DATA[[#This Row],[ETA for New Ark update]])</f>
        <v>2026</v>
      </c>
      <c r="BC1037" s="432">
        <f>MONTH(PV_DATA[[#This Row],[ETA for New Ark update]])</f>
        <v>10</v>
      </c>
      <c r="BD1037" s="432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936</v>
      </c>
      <c r="BG1037" s="432" t="str">
        <f>_xlfn.XLOOKUP(PV_DATA[[#This Row],[New Ark SKU]],Table9[New Ark SKU],Table9[Back Glass],,0)</f>
        <v>Black glazing</v>
      </c>
      <c r="BH1037" s="432" t="str">
        <f>_xlfn.XLOOKUP(PV_DATA[[#This Row],[PORT DESTINATION]],Table12[PORT DESTINATION],Table12[Cosco Line],,0)</f>
        <v>AEU</v>
      </c>
    </row>
    <row r="1038" spans="1:62" s="432" customFormat="1" ht="10.5" hidden="1">
      <c r="A1038" s="1364" t="s">
        <v>6681</v>
      </c>
      <c r="B1038" s="440" t="s">
        <v>111</v>
      </c>
      <c r="C1038" s="440" t="str">
        <f>IFERROR(LEFT(PV_DATA[[#This Row],[TCL REFERENCE]],FIND(".",PV_DATA[[#This Row],[TCL REFERENCE]],1)-1),"Main Line")</f>
        <v>26Aug020</v>
      </c>
      <c r="D1038" s="440" t="s">
        <v>63</v>
      </c>
      <c r="E1038" s="440" t="s">
        <v>64</v>
      </c>
      <c r="F1038" s="440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M1038" s="432" t="s">
        <v>6273</v>
      </c>
      <c r="N1038" s="462">
        <v>46238</v>
      </c>
      <c r="O1038" s="432" t="s">
        <v>132</v>
      </c>
      <c r="P1038" s="432" t="s">
        <v>1062</v>
      </c>
      <c r="Q1038" s="432" t="s">
        <v>1063</v>
      </c>
      <c r="R1038" s="432" t="str">
        <f>_xlfn.XLOOKUP(PV_DATA[[#This Row],[New Ark SKU]],Table9[New Ark SKU],Table9[Connector],,0)</f>
        <v>EVO2A</v>
      </c>
      <c r="S1038" s="443" t="str">
        <f>_xlfn.XLOOKUP(PV_DATA[[#This Row],[New Ark SKU]],Table9[New Ark SKU],Table9[Cable],,0)</f>
        <v>±1200mm</v>
      </c>
      <c r="T1038" s="443">
        <v>470</v>
      </c>
      <c r="U1038" s="1212">
        <f>864*4</f>
        <v>3456</v>
      </c>
      <c r="V1038" s="449">
        <f>PV_DATA[[#This Row],[QUANTITY]]*PV_DATA[[#This Row],[WATT]]/1000000</f>
        <v>1.62432</v>
      </c>
      <c r="W1038" s="467">
        <f>PV_DATA[[#This Row],[QUANTITY]]/PV_DATA[[#This Row],[Qty/Pallet]]</f>
        <v>96</v>
      </c>
      <c r="X1038" s="1114">
        <f>PV_DATA[[#This Row],[QUANTITY]]/PV_DATA[[#This Row],[Qty/CT]]</f>
        <v>4</v>
      </c>
      <c r="Y1038" s="432" t="s">
        <v>2468</v>
      </c>
      <c r="AA1038" s="432" t="s">
        <v>5848</v>
      </c>
      <c r="AB1038" s="442">
        <v>46280</v>
      </c>
      <c r="AC1038" s="446"/>
      <c r="AD1038" s="440"/>
      <c r="AF1038" s="432" t="s">
        <v>122</v>
      </c>
      <c r="AG1038" s="432" t="s">
        <v>123</v>
      </c>
      <c r="AH1038" s="432" t="s">
        <v>105</v>
      </c>
      <c r="AI1038" s="628">
        <v>46279</v>
      </c>
      <c r="AJ1038" s="442" t="str">
        <f>IFERROR(VLOOKUP(AT1038, Vessel!A:D, 4, FALSE), "")</f>
        <v/>
      </c>
      <c r="AK1038" s="442" t="str">
        <f>IFERROR(IF(VLOOKUP(AT1038,Vessel!A:F,5,FALSE)=0,"",VLOOKUP(AT1038,Vessel!A:F,5,FALSE)),"")</f>
        <v/>
      </c>
      <c r="AL1038" s="628">
        <v>46319</v>
      </c>
      <c r="AM1038" s="442"/>
      <c r="AN1038" s="442"/>
      <c r="AP1038" s="432" t="s">
        <v>6669</v>
      </c>
      <c r="AQ1038" s="432" t="s">
        <v>161</v>
      </c>
      <c r="AR1038" s="621" t="s">
        <v>6677</v>
      </c>
      <c r="AT1038" s="432" t="s">
        <v>6680</v>
      </c>
      <c r="AU10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8" s="442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2">
        <f>IF(ISERROR(PV_DATA[[#This Row],[New Ark PO status]]),"",_xlfn.XLOOKUP(PV_DATA[[#This Row],[SPTN-PVHK New Ark PO'#]],New_Ark_Data[Purchase order Number],New_Ark_Data[Estimated time of arrival],"",0))</f>
        <v>0</v>
      </c>
      <c r="AZ10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2">
        <f>IFERROR(PV_DATA[[#This Row],[ODP ETA Port]]+PV_DATA[[#This Row],[Customs/Leg3 Assumption]],"n/a")</f>
        <v>46326</v>
      </c>
      <c r="BB1038" s="443">
        <f>YEAR(PV_DATA[[#This Row],[ETA for New Ark update]])</f>
        <v>2026</v>
      </c>
      <c r="BC1038" s="432">
        <f>MONTH(PV_DATA[[#This Row],[ETA for New Ark update]])</f>
        <v>10</v>
      </c>
      <c r="BD1038" s="432">
        <f>IFERROR(_xlfn.ISOWEEKNUM(PV_DATA[[#This Row],[ETA for New Ark update]]),0)</f>
        <v>44</v>
      </c>
      <c r="BE1038" s="432">
        <f>_xlfn.XLOOKUP(PV_DATA[[#This Row],[New Ark SKU]],Table9[New Ark SKU],Table9[Total PCS per Pallet],,0)</f>
        <v>36</v>
      </c>
      <c r="BF1038" s="432">
        <f>_xlfn.XLOOKUP(PV_DATA[[#This Row],[New Ark SKU]],Table9[New Ark SKU],Table9[Total PCS per 40HQ Container],,0)</f>
        <v>864</v>
      </c>
      <c r="BG1038" s="432" t="str">
        <f>_xlfn.XLOOKUP(PV_DATA[[#This Row],[New Ark SKU]],Table9[New Ark SKU],Table9[Back Glass],,0)</f>
        <v>White glazing</v>
      </c>
      <c r="BH1038" s="432" t="str">
        <f>_xlfn.XLOOKUP(PV_DATA[[#This Row],[PORT DESTINATION]],Table12[PORT DESTINATION],Table12[Cosco Line],,0)</f>
        <v>AEU</v>
      </c>
    </row>
    <row r="1039" spans="1:62" s="432" customFormat="1" ht="10.5" hidden="1">
      <c r="A1039" s="1364" t="s">
        <v>6682</v>
      </c>
      <c r="B1039" s="440" t="s">
        <v>111</v>
      </c>
      <c r="C1039" s="440" t="str">
        <f>IFERROR(LEFT(PV_DATA[[#This Row],[TCL REFERENCE]],FIND(".",PV_DATA[[#This Row],[TCL REFERENCE]],1)-1),"Main Line")</f>
        <v>26Aug002</v>
      </c>
      <c r="D1039" s="440" t="s">
        <v>63</v>
      </c>
      <c r="E1039" s="440" t="s">
        <v>64</v>
      </c>
      <c r="F1039" s="440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402</v>
      </c>
      <c r="H1039" s="440" t="s">
        <v>67</v>
      </c>
      <c r="I1039" s="440" t="s">
        <v>689</v>
      </c>
      <c r="J1039" s="432" t="s">
        <v>96</v>
      </c>
      <c r="M1039" s="432" t="s">
        <v>6531</v>
      </c>
      <c r="N1039" s="462">
        <v>46215</v>
      </c>
      <c r="O1039" s="432" t="s">
        <v>550</v>
      </c>
      <c r="P1039" s="432" t="s">
        <v>2134</v>
      </c>
      <c r="Q1039" s="432" t="s">
        <v>2135</v>
      </c>
      <c r="R1039" s="432" t="str">
        <f>_xlfn.XLOOKUP(PV_DATA[[#This Row],[New Ark SKU]],Table9[New Ark SKU],Table9[Connector],,0)</f>
        <v>EVO2A</v>
      </c>
      <c r="S1039" s="443" t="str">
        <f>_xlfn.XLOOKUP(PV_DATA[[#This Row],[New Ark SKU]],Table9[New Ark SKU],Table9[Cable],,0)</f>
        <v>±1350mm</v>
      </c>
      <c r="T1039" s="443">
        <v>515</v>
      </c>
      <c r="U1039" s="1212">
        <v>1584</v>
      </c>
      <c r="V1039" s="449">
        <f>PV_DATA[[#This Row],[QUANTITY]]*PV_DATA[[#This Row],[WATT]]/1000000</f>
        <v>0.81576000000000004</v>
      </c>
      <c r="W1039" s="467">
        <f>PV_DATA[[#This Row],[QUANTITY]]/PV_DATA[[#This Row],[Qty/Pallet]]</f>
        <v>44</v>
      </c>
      <c r="X1039" s="1114">
        <f>PV_DATA[[#This Row],[QUANTITY]]/PV_DATA[[#This Row],[Qty/CT]]</f>
        <v>2</v>
      </c>
      <c r="Y1039" s="432" t="s">
        <v>2468</v>
      </c>
      <c r="Z1039" s="432" t="str">
        <f>IF(AN1039&lt;&gt;"","COMPLETED",IF(AK1039&lt;&gt;"","IN-TRANSIT",""))</f>
        <v/>
      </c>
      <c r="AA1039" s="621" t="s">
        <v>5848</v>
      </c>
      <c r="AB1039" s="442">
        <v>46274</v>
      </c>
      <c r="AC1039" s="468">
        <f>IF(PV_DATA[[#This Row],[Pick-Up Date]]&lt;&gt;"",_xlfn.ISOWEEKNUM(PV_DATA[[#This Row],[Pick-Up Date]]),"")</f>
        <v>37</v>
      </c>
      <c r="AD1039" s="432" t="s">
        <v>6683</v>
      </c>
      <c r="AF1039" s="432" t="s">
        <v>122</v>
      </c>
      <c r="AG1039" s="432" t="s">
        <v>123</v>
      </c>
      <c r="AH1039" s="432" t="s">
        <v>105</v>
      </c>
      <c r="AI1039" s="628">
        <v>46279</v>
      </c>
      <c r="AJ1039" s="628">
        <f>IFERROR(VLOOKUP(AT1039, Vessel!A:D, 4, FALSE), "")</f>
        <v>46285.000694444447</v>
      </c>
      <c r="AK1039" s="442" t="str">
        <f>IFERROR(IF(VLOOKUP(AT1039,Vessel!A:F,5,FALSE)=0,"",VLOOKUP(AT1039,Vessel!A:F,5,FALSE)),"")</f>
        <v/>
      </c>
      <c r="AL1039" s="628">
        <v>46319</v>
      </c>
      <c r="AM1039" s="1385"/>
      <c r="AN1039" s="588" t="str">
        <f>IFERROR(IF(VLOOKUP(AT1039,Vessel!A:I,9,FALSE)=0,"",VLOOKUP(AT1039,Vessel!A:I,9,FALSE)),"")</f>
        <v/>
      </c>
      <c r="AP1039" s="432" t="s">
        <v>6684</v>
      </c>
      <c r="AQ1039" s="432" t="s">
        <v>80</v>
      </c>
      <c r="AR1039" s="432" t="s">
        <v>6685</v>
      </c>
      <c r="AS1039" s="432" t="s">
        <v>6686</v>
      </c>
      <c r="AT1039" s="432" t="s">
        <v>6686</v>
      </c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W1039" s="442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2" t="str">
        <f>IF(ISERROR(PV_DATA[[#This Row],[New Ark PO status]]),"",_xlfn.XLOOKUP(PV_DATA[[#This Row],[SPTN-PVHK New Ark PO'#]],New_Ark_Data[Purchase order Number],New_Ark_Data[Estimated time of arrival],"",0))</f>
        <v/>
      </c>
      <c r="AZ10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42">
        <f>IFERROR(PV_DATA[[#This Row],[ODP ETA Port]]+PV_DATA[[#This Row],[Customs/Leg3 Assumption]],"n/a")</f>
        <v>46326</v>
      </c>
      <c r="BB1039" s="443" t="s">
        <v>6531</v>
      </c>
      <c r="BC1039" s="443" t="s">
        <v>6531</v>
      </c>
      <c r="BD1039" s="432">
        <f>IFERROR(_xlfn.ISOWEEKNUM(PV_DATA[[#This Row],[ETA for New Ark update]]),0)</f>
        <v>44</v>
      </c>
      <c r="BE1039" s="432">
        <f>_xlfn.XLOOKUP(PV_DATA[[#This Row],[New Ark SKU]],Table9[New Ark SKU],Table9[Total PCS per Pallet],,0)</f>
        <v>36</v>
      </c>
      <c r="BF1039" s="432">
        <f>_xlfn.XLOOKUP(PV_DATA[[#This Row],[New Ark SKU]],Table9[New Ark SKU],Table9[Total PCS per 40HQ Container],,0)</f>
        <v>792</v>
      </c>
      <c r="BG1039" s="432" t="str">
        <f>_xlfn.XLOOKUP(PV_DATA[[#This Row],[New Ark SKU]],Table9[New Ark SKU],Table9[Back Glass],,0)</f>
        <v>Black glazing</v>
      </c>
      <c r="BH1039" s="624" t="str">
        <f>_xlfn.XLOOKUP(PV_DATA[[#This Row],[PORT DESTINATION]],Table12[PORT DESTINATION],Table12[Cosco Line],,0)</f>
        <v>AEU</v>
      </c>
    </row>
    <row r="1040" spans="1:62" s="432" customFormat="1" ht="10.5" hidden="1">
      <c r="A1040" s="1263" t="s">
        <v>6687</v>
      </c>
      <c r="B1040" s="728" t="s">
        <v>111</v>
      </c>
      <c r="C1040" s="440" t="str">
        <f>IFERROR(LEFT(PV_DATA[[#This Row],[TCL REFERENCE]],FIND(".",PV_DATA[[#This Row],[TCL REFERENCE]],1)-1),"Main Line")</f>
        <v>26Jun033</v>
      </c>
      <c r="D1040" s="728" t="s">
        <v>63</v>
      </c>
      <c r="E1040" s="440" t="s">
        <v>64</v>
      </c>
      <c r="F1040" s="728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L1040" s="621"/>
      <c r="M1040" s="432" t="s">
        <v>68</v>
      </c>
      <c r="N1040" s="632">
        <v>46209</v>
      </c>
      <c r="O1040" s="621" t="s">
        <v>70</v>
      </c>
      <c r="P1040" s="621" t="s">
        <v>5744</v>
      </c>
      <c r="Q1040" s="621" t="s">
        <v>1484</v>
      </c>
      <c r="R1040" s="621" t="str">
        <f>_xlfn.XLOOKUP(PV_DATA[[#This Row],[New Ark SKU]],Table9[New Ark SKU],Table9[Connector],,0)</f>
        <v>EVO2A</v>
      </c>
      <c r="S1040" s="622" t="str">
        <f>_xlfn.XLOOKUP(PV_DATA[[#This Row],[New Ark SKU]],Table9[New Ark SKU],Table9[Cable],,0)</f>
        <v>±1400mm</v>
      </c>
      <c r="T1040" s="622">
        <v>725</v>
      </c>
      <c r="U1040" s="1156">
        <v>1782</v>
      </c>
      <c r="V1040" s="626">
        <f>PV_DATA[[#This Row],[QUANTITY]]*PV_DATA[[#This Row],[WATT]]/1000000</f>
        <v>1.2919499999999999</v>
      </c>
      <c r="W1040" s="467">
        <f>PV_DATA[[#This Row],[QUANTITY]]/PV_DATA[[#This Row],[Qty/Pallet]]</f>
        <v>54</v>
      </c>
      <c r="X1040" s="1118">
        <f>PV_DATA[[#This Row],[QUANTITY]]/PV_DATA[[#This Row],[Qty/CT]]</f>
        <v>3</v>
      </c>
      <c r="Y1040" s="432" t="s">
        <v>6676</v>
      </c>
      <c r="Z1040" s="432" t="str">
        <f>IF(AN1040&lt;&gt;"","COMPLETED",IF(AK1040&lt;&gt;"","IN-TRANSIT",""))</f>
        <v/>
      </c>
      <c r="AA1040" s="432" t="s">
        <v>5745</v>
      </c>
      <c r="AB1040" s="628">
        <v>46274</v>
      </c>
      <c r="AC1040" s="629">
        <f>IF(PV_DATA[[#This Row],[Pick-Up Date]]&lt;&gt;"",_xlfn.ISOWEEKNUM(PV_DATA[[#This Row],[Pick-Up Date]]),"")</f>
        <v>37</v>
      </c>
      <c r="AD1040" s="621" t="s">
        <v>6688</v>
      </c>
      <c r="AE1040" s="621"/>
      <c r="AF1040" s="621" t="s">
        <v>122</v>
      </c>
      <c r="AG1040" s="621" t="s">
        <v>123</v>
      </c>
      <c r="AH1040" s="432" t="s">
        <v>105</v>
      </c>
      <c r="AI1040" s="628">
        <v>46279</v>
      </c>
      <c r="AJ1040" s="628">
        <f>IFERROR(VLOOKUP(AT1040, Vessel!A:D, 4, FALSE), "")</f>
        <v>46285.000694444447</v>
      </c>
      <c r="AK1040" s="442" t="str">
        <f>IFERROR(IF(VLOOKUP(AT1040,Vessel!A:F,5,FALSE)=0,"",VLOOKUP(AT1040,Vessel!A:F,5,FALSE)),"")</f>
        <v/>
      </c>
      <c r="AL1040" s="628">
        <v>46319</v>
      </c>
      <c r="AM1040" s="442"/>
      <c r="AN1040" s="588" t="str">
        <f>IFERROR(IF(VLOOKUP(AT1040,Vessel!A:I,9,FALSE)=0,"",VLOOKUP(AT1040,Vessel!A:I,9,FALSE)),"")</f>
        <v/>
      </c>
      <c r="AO1040" s="621"/>
      <c r="AP1040" s="432" t="s">
        <v>6684</v>
      </c>
      <c r="AQ1040" s="432" t="s">
        <v>80</v>
      </c>
      <c r="AR1040" s="621" t="s">
        <v>6685</v>
      </c>
      <c r="AS1040" s="432" t="s">
        <v>6686</v>
      </c>
      <c r="AT1040" s="432" t="s">
        <v>6686</v>
      </c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V1040" s="621"/>
      <c r="AW1040" s="628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628" t="str">
        <f>IF(ISERROR(PV_DATA[[#This Row],[New Ark PO status]]),"",_xlfn.XLOOKUP(PV_DATA[[#This Row],[SPTN-PVHK New Ark PO'#]],New_Ark_Data[Purchase order Number],New_Ark_Data[Estimated time of arrival],"",0))</f>
        <v/>
      </c>
      <c r="AZ1040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628">
        <f>IFERROR(PV_DATA[[#This Row],[ODP ETA Port]]+PV_DATA[[#This Row],[Customs/Leg3 Assumption]],"n/a")</f>
        <v>46326</v>
      </c>
      <c r="BB1040" s="622">
        <f>YEAR(PV_DATA[[#This Row],[ETA for New Ark update]])</f>
        <v>2026</v>
      </c>
      <c r="BC1040" s="621">
        <f>MONTH(PV_DATA[[#This Row],[ETA for New Ark update]])</f>
        <v>10</v>
      </c>
      <c r="BD1040" s="621">
        <f>IFERROR(_xlfn.ISOWEEKNUM(PV_DATA[[#This Row],[ETA for New Ark update]]),0)</f>
        <v>44</v>
      </c>
      <c r="BE1040" s="621">
        <f>_xlfn.XLOOKUP(PV_DATA[[#This Row],[New Ark SKU]],Table9[New Ark SKU],Table9[Total PCS per Pallet],,0)</f>
        <v>33</v>
      </c>
      <c r="BF1040" s="621">
        <f>_xlfn.XLOOKUP(PV_DATA[[#This Row],[New Ark SKU]],Table9[New Ark SKU],Table9[Total PCS per 40HQ Container],,0)</f>
        <v>594</v>
      </c>
      <c r="BG1040" s="621" t="str">
        <f>_xlfn.XLOOKUP(PV_DATA[[#This Row],[New Ark SKU]],Table9[New Ark SKU],Table9[Back Glass],,0)</f>
        <v>Transparent</v>
      </c>
      <c r="BH1040" s="631" t="str">
        <f>_xlfn.XLOOKUP(PV_DATA[[#This Row],[PORT DESTINATION]],Table12[PORT DESTINATION],Table12[Cosco Line],,0)</f>
        <v>AEU</v>
      </c>
    </row>
    <row r="1041" spans="1:62" s="432" customFormat="1" ht="10.5" hidden="1">
      <c r="A1041" s="448" t="s">
        <v>6689</v>
      </c>
      <c r="B1041" s="440" t="s">
        <v>111</v>
      </c>
      <c r="C1041" s="440" t="str">
        <f>IFERROR(LEFT(PV_DATA[[#This Row],[TCL REFERENCE]],FIND(".",PV_DATA[[#This Row],[TCL REFERENCE]],1)-1),"Main Line")</f>
        <v>26Jul009</v>
      </c>
      <c r="D1041" s="440" t="s">
        <v>63</v>
      </c>
      <c r="E1041" s="440" t="s">
        <v>64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M1041" s="432" t="s">
        <v>68</v>
      </c>
      <c r="N1041" s="462">
        <v>46251</v>
      </c>
      <c r="O1041" s="432" t="s">
        <v>5374</v>
      </c>
      <c r="P1041" s="432" t="s">
        <v>6652</v>
      </c>
      <c r="Q1041" s="432" t="s">
        <v>6653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±1200mm</v>
      </c>
      <c r="T1041" s="443">
        <v>475</v>
      </c>
      <c r="U1041" s="1212">
        <v>1872</v>
      </c>
      <c r="V1041" s="449">
        <f>PV_DATA[[#This Row],[QUANTITY]]*PV_DATA[[#This Row],[WATT]]/1000000</f>
        <v>0.88919999999999999</v>
      </c>
      <c r="W1041" s="467">
        <f>PV_DATA[[#This Row],[QUANTITY]]/PV_DATA[[#This Row],[Qty/Pallet]]</f>
        <v>52</v>
      </c>
      <c r="X1041" s="1114">
        <f>PV_DATA[[#This Row],[QUANTITY]]/PV_DATA[[#This Row],[Qty/CT]]</f>
        <v>2</v>
      </c>
      <c r="Y1041" s="432" t="s">
        <v>2467</v>
      </c>
      <c r="Z1041" s="432" t="str">
        <f t="shared" si="19"/>
        <v/>
      </c>
      <c r="AA1041" s="663">
        <v>46260</v>
      </c>
      <c r="AB1041" s="442">
        <v>46271</v>
      </c>
      <c r="AC1041" s="468">
        <f>IF(PV_DATA[[#This Row],[Pick-Up Date]]&lt;&gt;"",_xlfn.ISOWEEKNUM(PV_DATA[[#This Row],[Pick-Up Date]]),"")</f>
        <v>36</v>
      </c>
      <c r="AD1041" s="432" t="s">
        <v>6690</v>
      </c>
      <c r="AF1041" s="432" t="s">
        <v>122</v>
      </c>
      <c r="AG1041" s="432" t="s">
        <v>123</v>
      </c>
      <c r="AH1041" s="432" t="s">
        <v>105</v>
      </c>
      <c r="AI1041" s="442">
        <v>46277</v>
      </c>
      <c r="AJ1041" s="442"/>
      <c r="AK1041" s="442" t="str">
        <f>IFERROR(IF(VLOOKUP(AT1041,Vessel!A:F,5,FALSE)=0,"",VLOOKUP(AT1041,Vessel!A:F,5,FALSE)),"")</f>
        <v/>
      </c>
      <c r="AL1041" s="442">
        <v>46326</v>
      </c>
      <c r="AM1041" s="442"/>
      <c r="AN1041" s="588" t="str">
        <f>IFERROR(IF(VLOOKUP(AT1041,Vessel!A:I,9,FALSE)=0,"",VLOOKUP(AT1041,Vessel!A:I,9,FALSE)),"")</f>
        <v/>
      </c>
      <c r="AP1041" s="432" t="s">
        <v>6691</v>
      </c>
      <c r="AQ1041" s="432" t="s">
        <v>80</v>
      </c>
      <c r="AR1041" s="432" t="s">
        <v>6692</v>
      </c>
      <c r="AS1041" s="432" t="s">
        <v>6693</v>
      </c>
      <c r="AT1041" s="432" t="s">
        <v>6693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 t="str">
        <f>IF(ISERROR(PV_DATA[[#This Row],[New Ark PO status]]),"",_xlfn.XLOOKUP(PV_DATA[[#This Row],[SPTN-PVHK New Ark PO'#]],New_Ark_Data[Purchase order Number],New_Ark_Data[Estimated time of arrival],"",0))</f>
        <v/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46333</v>
      </c>
      <c r="BB1041" s="443">
        <f>YEAR(PV_DATA[[#This Row],[ETA for New Ark update]])</f>
        <v>2026</v>
      </c>
      <c r="BC1041" s="432">
        <f>MONTH(PV_DATA[[#This Row],[ETA for New Ark update]])</f>
        <v>11</v>
      </c>
      <c r="BD1041" s="432">
        <f>IFERROR(_xlfn.ISOWEEKNUM(PV_DATA[[#This Row],[ETA for New Ark update]]),0)</f>
        <v>45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936</v>
      </c>
      <c r="BG1041" s="432" t="str">
        <f>_xlfn.XLOOKUP(PV_DATA[[#This Row],[New Ark SKU]],Table9[New Ark SKU],Table9[Back Glass],,0)</f>
        <v>Black glazing</v>
      </c>
      <c r="BH1041" s="432" t="str">
        <f>_xlfn.XLOOKUP(PV_DATA[[#This Row],[PORT DESTINATION]],Table12[PORT DESTINATION],Table12[Cosco Line],,0)</f>
        <v>AEU</v>
      </c>
    </row>
    <row r="1042" spans="1:62" s="432" customFormat="1" ht="10.5" hidden="1">
      <c r="A1042" s="448" t="s">
        <v>6694</v>
      </c>
      <c r="B1042" s="440" t="s">
        <v>111</v>
      </c>
      <c r="C1042" s="440" t="str">
        <f>IFERROR(LEFT(PV_DATA[[#This Row],[TCL REFERENCE]],FIND(".",PV_DATA[[#This Row],[TCL REFERENCE]],1)-1),"Main Line")</f>
        <v>26Jul020</v>
      </c>
      <c r="D1042" s="440" t="s">
        <v>63</v>
      </c>
      <c r="E1042" s="440" t="s">
        <v>64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0" t="s">
        <v>402</v>
      </c>
      <c r="H1042" s="440" t="s">
        <v>67</v>
      </c>
      <c r="I1042" s="440" t="s">
        <v>689</v>
      </c>
      <c r="J1042" s="432" t="s">
        <v>96</v>
      </c>
      <c r="M1042" s="432" t="s">
        <v>68</v>
      </c>
      <c r="N1042" s="462">
        <v>46251</v>
      </c>
      <c r="O1042" s="432" t="s">
        <v>5374</v>
      </c>
      <c r="P1042" s="432" t="s">
        <v>6695</v>
      </c>
      <c r="Q1042" s="432" t="s">
        <v>6696</v>
      </c>
      <c r="R1042" s="432" t="str">
        <f>_xlfn.XLOOKUP(PV_DATA[[#This Row],[New Ark SKU]],Table9[New Ark SKU],Table9[Connector],,0)</f>
        <v>EVO2A</v>
      </c>
      <c r="S1042" s="443" t="str">
        <f>_xlfn.XLOOKUP(PV_DATA[[#This Row],[New Ark SKU]],Table9[New Ark SKU],Table9[Cable],,0)</f>
        <v>±1200mm</v>
      </c>
      <c r="T1042" s="443">
        <v>480</v>
      </c>
      <c r="U1042" s="1212">
        <f>936*6</f>
        <v>5616</v>
      </c>
      <c r="V1042" s="449">
        <f>PV_DATA[[#This Row],[QUANTITY]]*PV_DATA[[#This Row],[WATT]]/1000000</f>
        <v>2.6956799999999999</v>
      </c>
      <c r="W1042" s="467">
        <f>PV_DATA[[#This Row],[QUANTITY]]/PV_DATA[[#This Row],[Qty/Pallet]]</f>
        <v>156</v>
      </c>
      <c r="X1042" s="1114">
        <f>PV_DATA[[#This Row],[QUANTITY]]/PV_DATA[[#This Row],[Qty/CT]]</f>
        <v>6</v>
      </c>
      <c r="Y1042" s="432" t="s">
        <v>2467</v>
      </c>
      <c r="Z1042" s="432" t="str">
        <f>IF(AN1042&lt;&gt;"","COMPLETED",IF(AK1042&lt;&gt;"","IN-TRANSIT",""))</f>
        <v/>
      </c>
      <c r="AA1042" s="663">
        <v>46260</v>
      </c>
      <c r="AB1042" s="442">
        <v>46271</v>
      </c>
      <c r="AC1042" s="468">
        <f>IF(PV_DATA[[#This Row],[Pick-Up Date]]&lt;&gt;"",_xlfn.ISOWEEKNUM(PV_DATA[[#This Row],[Pick-Up Date]]),"")</f>
        <v>36</v>
      </c>
      <c r="AD1042" s="432" t="s">
        <v>6697</v>
      </c>
      <c r="AF1042" s="432" t="s">
        <v>122</v>
      </c>
      <c r="AG1042" s="432" t="s">
        <v>123</v>
      </c>
      <c r="AH1042" s="432" t="s">
        <v>105</v>
      </c>
      <c r="AI1042" s="442">
        <v>46277</v>
      </c>
      <c r="AJ1042" s="442">
        <f>IFERROR(VLOOKUP(AT1042, Vessel!A:D, 4, FALSE), "")</f>
        <v>46282.395833333336</v>
      </c>
      <c r="AK1042" s="442" t="str">
        <f>IFERROR(IF(VLOOKUP(AT1042,Vessel!A:F,5,FALSE)=0,"",VLOOKUP(AT1042,Vessel!A:F,5,FALSE)),"")</f>
        <v/>
      </c>
      <c r="AL1042" s="442">
        <v>46326</v>
      </c>
      <c r="AM1042" s="588">
        <f>IFERROR(VLOOKUP(AT1042, Vessel!A:H, 8, FALSE), "")</f>
        <v>46326.791666666664</v>
      </c>
      <c r="AN1042" s="588" t="str">
        <f>IFERROR(IF(VLOOKUP(AT1042,Vessel!A:I,9,FALSE)=0,"",VLOOKUP(AT1042,Vessel!A:I,9,FALSE)),"")</f>
        <v/>
      </c>
      <c r="AP1042" s="432" t="s">
        <v>6691</v>
      </c>
      <c r="AQ1042" s="432" t="s">
        <v>80</v>
      </c>
      <c r="AR1042" s="432" t="s">
        <v>6692</v>
      </c>
      <c r="AS1042" s="432" t="s">
        <v>6693</v>
      </c>
      <c r="AT1042" s="432" t="s">
        <v>6693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44.395833333328483</v>
      </c>
      <c r="AW1042" s="442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2" t="str">
        <f>IF(ISERROR(PV_DATA[[#This Row],[New Ark PO status]]),"",_xlfn.XLOOKUP(PV_DATA[[#This Row],[SPTN-PVHK New Ark PO'#]],New_Ark_Data[Purchase order Number],New_Ark_Data[Estimated time of arrival],"",0))</f>
        <v/>
      </c>
      <c r="AZ10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442">
        <f>IFERROR(PV_DATA[[#This Row],[ODP ETA Port]]+PV_DATA[[#This Row],[Customs/Leg3 Assumption]],"n/a")</f>
        <v>46333.791666666664</v>
      </c>
      <c r="BB1042" s="443">
        <f>YEAR(PV_DATA[[#This Row],[ETA for New Ark update]])</f>
        <v>2026</v>
      </c>
      <c r="BC1042" s="432">
        <f>MONTH(PV_DATA[[#This Row],[ETA for New Ark update]])</f>
        <v>11</v>
      </c>
      <c r="BD1042" s="432">
        <f>IFERROR(_xlfn.ISOWEEKNUM(PV_DATA[[#This Row],[ETA for New Ark update]]),0)</f>
        <v>45</v>
      </c>
      <c r="BE1042" s="432">
        <f>_xlfn.XLOOKUP(PV_DATA[[#This Row],[New Ark SKU]],Table9[New Ark SKU],Table9[Total PCS per Pallet],,0)</f>
        <v>36</v>
      </c>
      <c r="BF1042" s="432">
        <f>_xlfn.XLOOKUP(PV_DATA[[#This Row],[New Ark SKU]],Table9[New Ark SKU],Table9[Total PCS per 40HQ Container],,0)</f>
        <v>936</v>
      </c>
      <c r="BG1042" s="432" t="str">
        <f>_xlfn.XLOOKUP(PV_DATA[[#This Row],[New Ark SKU]],Table9[New Ark SKU],Table9[Back Glass],,0)</f>
        <v>Black glazing</v>
      </c>
      <c r="BH1042" s="432" t="str">
        <f>_xlfn.XLOOKUP(PV_DATA[[#This Row],[PORT DESTINATION]],Table12[PORT DESTINATION],Table12[Cosco Line],,0)</f>
        <v>AEU</v>
      </c>
    </row>
    <row r="1043" spans="1:62" s="432" customFormat="1" ht="13.5" hidden="1" customHeight="1">
      <c r="A1043" s="730" t="s">
        <v>6698</v>
      </c>
      <c r="B1043" s="440" t="s">
        <v>111</v>
      </c>
      <c r="C1043" s="440" t="str">
        <f>IFERROR(LEFT(PV_DATA[[#This Row],[TCL REFERENCE]],FIND(".",PV_DATA[[#This Row],[TCL REFERENCE]],1)-1),"Main Line")</f>
        <v>26Aug009</v>
      </c>
      <c r="D1043" s="728" t="s">
        <v>113</v>
      </c>
      <c r="E1043" s="440" t="s">
        <v>144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0" t="s">
        <v>402</v>
      </c>
      <c r="H1043" s="440" t="s">
        <v>670</v>
      </c>
      <c r="I1043" s="440" t="s">
        <v>6206</v>
      </c>
      <c r="J1043" s="440" t="s">
        <v>670</v>
      </c>
      <c r="K1043" s="432" t="s">
        <v>6238</v>
      </c>
      <c r="L1043" s="432">
        <v>8</v>
      </c>
      <c r="M1043" s="432" t="s">
        <v>4962</v>
      </c>
      <c r="N1043" s="462"/>
      <c r="O1043" s="432" t="s">
        <v>4526</v>
      </c>
      <c r="P1043" s="432" t="s">
        <v>6466</v>
      </c>
      <c r="Q1043" s="432" t="s">
        <v>103</v>
      </c>
      <c r="R1043" s="432" t="str">
        <f>_xlfn.XLOOKUP(PV_DATA[[#This Row],[New Ark SKU]],Table9[New Ark SKU],Table9[Connector],,0)</f>
        <v>H4(Com)</v>
      </c>
      <c r="S1043" s="443" t="str">
        <f>_xlfn.XLOOKUP(PV_DATA[[#This Row],[New Ark SKU]],Table9[New Ark SKU],Table9[Cable],,0)</f>
        <v>+400mm/-200mm</v>
      </c>
      <c r="T1043" s="443">
        <v>620</v>
      </c>
      <c r="U1043" s="1212">
        <v>7920</v>
      </c>
      <c r="V1043" s="449">
        <f>PV_DATA[[#This Row],[QUANTITY]]*PV_DATA[[#This Row],[WATT]]/1000000</f>
        <v>4.9104000000000001</v>
      </c>
      <c r="W1043" s="627">
        <f>PV_DATA[[#This Row],[QUANTITY]]/36</f>
        <v>220</v>
      </c>
      <c r="X1043" s="1114">
        <f>PV_DATA[[#This Row],[QUANTITY]]/PV_DATA[[#This Row],[Qty/CT]]</f>
        <v>11</v>
      </c>
      <c r="Y1043" s="432" t="s">
        <v>2468</v>
      </c>
      <c r="Z1043" s="1132" t="str">
        <f>IF(AN1043&lt;&gt;"","COMPLETED",IF(AK1043&lt;&gt;"","IN-TRANSIT",""))</f>
        <v/>
      </c>
      <c r="AA1043" s="1132" t="s">
        <v>5848</v>
      </c>
      <c r="AB1043" s="1134">
        <v>46277</v>
      </c>
      <c r="AC1043" s="1135">
        <f>IF(PV_DATA[[#This Row],[Pick-Up Date]]&lt;&gt;"",_xlfn.ISOWEEKNUM(PV_DATA[[#This Row],[Pick-Up Date]]),"")</f>
        <v>37</v>
      </c>
      <c r="AD1043" s="1132"/>
      <c r="AE1043" s="1132"/>
      <c r="AF1043" s="432" t="s">
        <v>122</v>
      </c>
      <c r="AG1043" s="432" t="s">
        <v>122</v>
      </c>
      <c r="AH1043" s="432" t="s">
        <v>105</v>
      </c>
      <c r="AI1043" s="1134">
        <v>46285</v>
      </c>
      <c r="AJ1043" s="1134"/>
      <c r="AK1043" s="1134"/>
      <c r="AL1043" s="1134">
        <v>46321</v>
      </c>
      <c r="AM1043" s="1136"/>
      <c r="AN1043" s="1136"/>
      <c r="AO1043" s="1132"/>
      <c r="AP1043" s="1132" t="s">
        <v>6699</v>
      </c>
      <c r="AQ1043" s="1227" t="s">
        <v>80</v>
      </c>
      <c r="AR1043" s="1132" t="s">
        <v>6700</v>
      </c>
      <c r="AS1043" s="1132" t="s">
        <v>6701</v>
      </c>
      <c r="AT1043" s="1132" t="s">
        <v>6701</v>
      </c>
      <c r="AU1043" s="1132"/>
      <c r="AV1043" s="1132"/>
      <c r="AW1043" s="1134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1134">
        <f>IF(ISERROR(PV_DATA[[#This Row],[New Ark PO status]]),"",_xlfn.XLOOKUP(PV_DATA[[#This Row],[SPTN-PVHK New Ark PO'#]],New_Ark_Data[Purchase order Number],New_Ark_Data[Estimated time of arrival],"",0))</f>
        <v>0</v>
      </c>
      <c r="AZ1043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1134">
        <f>IFERROR(PV_DATA[[#This Row],[ODP ETA Port]]+PV_DATA[[#This Row],[Customs/Leg3 Assumption]],"n/a")</f>
        <v>46321</v>
      </c>
      <c r="BB1043" s="1133">
        <f>YEAR(PV_DATA[[#This Row],[ETA for New Ark update]])</f>
        <v>2026</v>
      </c>
      <c r="BC1043" s="1132">
        <f>MONTH(PV_DATA[[#This Row],[ETA for New Ark update]])</f>
        <v>10</v>
      </c>
      <c r="BD1043" s="1132">
        <f>IFERROR(_xlfn.ISOWEEKNUM(PV_DATA[[#This Row],[ETA for New Ark update]]),0)</f>
        <v>44</v>
      </c>
      <c r="BE1043" s="1132">
        <f>_xlfn.XLOOKUP(PV_DATA[[#This Row],[New Ark SKU]],Table9[New Ark SKU],Table9[Total PCS per Pallet],,0)</f>
        <v>36</v>
      </c>
      <c r="BF1043" s="1132">
        <f>_xlfn.XLOOKUP(PV_DATA[[#This Row],[New Ark SKU]],Table9[New Ark SKU],Table9[Total PCS per 40HQ Container],,0)</f>
        <v>720</v>
      </c>
      <c r="BG1043" s="432" t="str">
        <f>_xlfn.XLOOKUP(PV_DATA[[#This Row],[New Ark SKU]],Table9[New Ark SKU],Table9[Back Glass],,0)</f>
        <v>Redirection Film</v>
      </c>
      <c r="BH1043" s="1137" t="str">
        <f>_xlfn.XLOOKUP(PV_DATA[[#This Row],[PORT DESTINATION]],Table12[PORT DESTINATION],Table12[Cosco Line],,0)</f>
        <v>AEU</v>
      </c>
    </row>
    <row r="1044" spans="1:62" s="432" customFormat="1" ht="13.5" hidden="1" customHeight="1">
      <c r="A1044" s="730" t="s">
        <v>6702</v>
      </c>
      <c r="B1044" s="440" t="s">
        <v>111</v>
      </c>
      <c r="C1044" s="440" t="str">
        <f>IFERROR(LEFT(PV_DATA[[#This Row],[TCL REFERENCE]],FIND(".",PV_DATA[[#This Row],[TCL REFERENCE]],1)-1),"Main Line")</f>
        <v>26Aug009</v>
      </c>
      <c r="D1044" s="728" t="s">
        <v>113</v>
      </c>
      <c r="E1044" s="440" t="s">
        <v>144</v>
      </c>
      <c r="F1044" s="440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0" t="s">
        <v>402</v>
      </c>
      <c r="H1044" s="440" t="s">
        <v>670</v>
      </c>
      <c r="I1044" s="440" t="s">
        <v>6206</v>
      </c>
      <c r="J1044" s="440" t="s">
        <v>670</v>
      </c>
      <c r="K1044" s="432" t="s">
        <v>5887</v>
      </c>
      <c r="L1044" s="432">
        <v>7</v>
      </c>
      <c r="M1044" s="432" t="s">
        <v>4962</v>
      </c>
      <c r="N1044" s="462"/>
      <c r="O1044" s="432" t="s">
        <v>4526</v>
      </c>
      <c r="P1044" s="432" t="s">
        <v>6466</v>
      </c>
      <c r="Q1044" s="432" t="s">
        <v>103</v>
      </c>
      <c r="R1044" s="432" t="str">
        <f>_xlfn.XLOOKUP(PV_DATA[[#This Row],[New Ark SKU]],Table9[New Ark SKU],Table9[Connector],,0)</f>
        <v>H4(Com)</v>
      </c>
      <c r="S1044" s="443" t="str">
        <f>_xlfn.XLOOKUP(PV_DATA[[#This Row],[New Ark SKU]],Table9[New Ark SKU],Table9[Cable],,0)</f>
        <v>+400mm/-200mm</v>
      </c>
      <c r="T1044" s="443">
        <v>620</v>
      </c>
      <c r="U1044" s="1212">
        <v>2880</v>
      </c>
      <c r="V1044" s="449">
        <f>PV_DATA[[#This Row],[QUANTITY]]*PV_DATA[[#This Row],[WATT]]/1000000</f>
        <v>1.7856000000000001</v>
      </c>
      <c r="W1044" s="627">
        <f>PV_DATA[[#This Row],[QUANTITY]]/36</f>
        <v>80</v>
      </c>
      <c r="X1044" s="1114">
        <f>PV_DATA[[#This Row],[QUANTITY]]/PV_DATA[[#This Row],[Qty/CT]]</f>
        <v>4</v>
      </c>
      <c r="Y1044" s="432" t="s">
        <v>2468</v>
      </c>
      <c r="Z1044" s="432" t="str">
        <f>IF(AN1044&lt;&gt;"","COMPLETED",IF(AK1044&lt;&gt;"","IN-TRANSIT",""))</f>
        <v/>
      </c>
      <c r="AA1044" s="1132" t="s">
        <v>5848</v>
      </c>
      <c r="AB1044" s="442">
        <v>46281</v>
      </c>
      <c r="AC1044" s="468">
        <f>IF(PV_DATA[[#This Row],[Pick-Up Date]]&lt;&gt;"",_xlfn.ISOWEEKNUM(PV_DATA[[#This Row],[Pick-Up Date]]),"")</f>
        <v>38</v>
      </c>
      <c r="AF1044" s="432" t="s">
        <v>122</v>
      </c>
      <c r="AG1044" s="432" t="s">
        <v>122</v>
      </c>
      <c r="AH1044" s="432" t="s">
        <v>105</v>
      </c>
      <c r="AI1044" s="442">
        <v>46284</v>
      </c>
      <c r="AJ1044" s="442"/>
      <c r="AK1044" s="442"/>
      <c r="AL1044" s="442">
        <v>46316</v>
      </c>
      <c r="AM1044" s="588"/>
      <c r="AN1044" s="588"/>
      <c r="AP1044" s="432" t="s">
        <v>6684</v>
      </c>
      <c r="AQ1044" s="1132" t="s">
        <v>161</v>
      </c>
      <c r="AR1044" s="432" t="s">
        <v>6703</v>
      </c>
      <c r="AS1044" s="432" t="s">
        <v>6704</v>
      </c>
      <c r="AT1044" s="432" t="s">
        <v>6704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4" s="442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2">
        <f>IF(ISERROR(PV_DATA[[#This Row],[New Ark PO status]]),"",_xlfn.XLOOKUP(PV_DATA[[#This Row],[SPTN-PVHK New Ark PO'#]],New_Ark_Data[Purchase order Number],New_Ark_Data[Estimated time of arrival],"",0))</f>
        <v>0</v>
      </c>
      <c r="AZ10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2">
        <f>IFERROR(PV_DATA[[#This Row],[ODP ETA Port]]+PV_DATA[[#This Row],[Customs/Leg3 Assumption]],"n/a")</f>
        <v>46316</v>
      </c>
      <c r="BB1044" s="443">
        <f>YEAR(PV_DATA[[#This Row],[ETA for New Ark update]])</f>
        <v>2026</v>
      </c>
      <c r="BC1044" s="432">
        <f>MONTH(PV_DATA[[#This Row],[ETA for New Ark update]])</f>
        <v>10</v>
      </c>
      <c r="BD1044" s="432">
        <f>IFERROR(_xlfn.ISOWEEKNUM(PV_DATA[[#This Row],[ETA for New Ark update]]),0)</f>
        <v>43</v>
      </c>
      <c r="BE1044" s="432">
        <f>_xlfn.XLOOKUP(PV_DATA[[#This Row],[New Ark SKU]],Table9[New Ark SKU],Table9[Total PCS per Pallet],,0)</f>
        <v>36</v>
      </c>
      <c r="BF1044" s="432">
        <f>_xlfn.XLOOKUP(PV_DATA[[#This Row],[New Ark SKU]],Table9[New Ark SKU],Table9[Total PCS per 40HQ Container],,0)</f>
        <v>720</v>
      </c>
      <c r="BG1044" s="432" t="str">
        <f>_xlfn.XLOOKUP(PV_DATA[[#This Row],[New Ark SKU]],Table9[New Ark SKU],Table9[Back Glass],,0)</f>
        <v>Redirection Film</v>
      </c>
      <c r="BH1044" s="624" t="str">
        <f>_xlfn.XLOOKUP(PV_DATA[[#This Row],[PORT DESTINATION]],Table12[PORT DESTINATION],Table12[Cosco Line],,0)</f>
        <v>AEU</v>
      </c>
    </row>
    <row r="1045" spans="1:62" s="432" customFormat="1" ht="10.5" hidden="1">
      <c r="A1045" s="729" t="s">
        <v>6705</v>
      </c>
      <c r="B1045" s="728" t="s">
        <v>111</v>
      </c>
      <c r="C1045" s="440" t="str">
        <f>IFERROR(LEFT(PV_DATA[[#This Row],[TCL REFERENCE]],FIND(".",PV_DATA[[#This Row],[TCL REFERENCE]],1)-1),"Main Line")</f>
        <v>26Aug025</v>
      </c>
      <c r="D1045" s="728" t="s">
        <v>113</v>
      </c>
      <c r="E1045" s="440" t="s">
        <v>144</v>
      </c>
      <c r="F1045" s="728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402</v>
      </c>
      <c r="H1045" s="440" t="s">
        <v>670</v>
      </c>
      <c r="I1045" s="440" t="s">
        <v>1395</v>
      </c>
      <c r="J1045" s="440" t="s">
        <v>670</v>
      </c>
      <c r="K1045" s="432" t="s">
        <v>6238</v>
      </c>
      <c r="L1045" s="621">
        <v>19</v>
      </c>
      <c r="M1045" s="432" t="s">
        <v>4962</v>
      </c>
      <c r="N1045" s="632"/>
      <c r="O1045" s="621" t="s">
        <v>4526</v>
      </c>
      <c r="P1045" s="621" t="s">
        <v>6444</v>
      </c>
      <c r="Q1045" s="621" t="s">
        <v>4593</v>
      </c>
      <c r="R1045" s="621" t="str">
        <f>_xlfn.XLOOKUP(PV_DATA[[#This Row],[New Ark SKU]],Table9[New Ark SKU],Table9[Connector],,0)</f>
        <v>H4(Com)</v>
      </c>
      <c r="S1045" s="622" t="str">
        <f>_xlfn.XLOOKUP(PV_DATA[[#This Row],[New Ark SKU]],Table9[New Ark SKU],Table9[Cable],,0)</f>
        <v>+400mm/-200mm</v>
      </c>
      <c r="T1045" s="622">
        <v>630</v>
      </c>
      <c r="U1045" s="1156">
        <v>4320</v>
      </c>
      <c r="V1045" s="626">
        <f>PV_DATA[[#This Row],[QUANTITY]]*PV_DATA[[#This Row],[WATT]]/1000000</f>
        <v>2.7216</v>
      </c>
      <c r="W1045" s="467">
        <f>PV_DATA[[#This Row],[QUANTITY]]/36</f>
        <v>120</v>
      </c>
      <c r="X1045" s="1118">
        <f>PV_DATA[[#This Row],[QUANTITY]]/PV_DATA[[#This Row],[Qty/CT]]</f>
        <v>6</v>
      </c>
      <c r="Y1045" s="432" t="s">
        <v>2469</v>
      </c>
      <c r="Z1045" s="432" t="str">
        <f>IF(AN1045&lt;&gt;"","COMPLETED",IF(AK1045&lt;&gt;"","IN-TRANSIT",""))</f>
        <v/>
      </c>
      <c r="AA1045" s="1132" t="s">
        <v>5848</v>
      </c>
      <c r="AB1045" s="628">
        <v>46281</v>
      </c>
      <c r="AC1045" s="629">
        <f>IF(PV_DATA[[#This Row],[Pick-Up Date]]&lt;&gt;"",_xlfn.ISOWEEKNUM(PV_DATA[[#This Row],[Pick-Up Date]]),"")</f>
        <v>38</v>
      </c>
      <c r="AD1045" s="621"/>
      <c r="AE1045" s="621"/>
      <c r="AF1045" s="621" t="s">
        <v>122</v>
      </c>
      <c r="AG1045" s="621" t="s">
        <v>122</v>
      </c>
      <c r="AH1045" s="432" t="s">
        <v>105</v>
      </c>
      <c r="AI1045" s="442">
        <v>46284</v>
      </c>
      <c r="AJ1045" s="442"/>
      <c r="AK1045" s="442" t="str">
        <f>IFERROR(IF(VLOOKUP(AT1045,Vessel!A:F,5,FALSE)=0,"",VLOOKUP(AT1045,Vessel!A:F,5,FALSE)),"")</f>
        <v/>
      </c>
      <c r="AL1045" s="628">
        <v>46316</v>
      </c>
      <c r="AM1045" s="442"/>
      <c r="AN1045" s="588" t="str">
        <f>IFERROR(IF(VLOOKUP(AT1045,Vessel!A:I,9,FALSE)=0,"",VLOOKUP(AT1045,Vessel!A:I,9,FALSE)),"")</f>
        <v/>
      </c>
      <c r="AO1045" s="621"/>
      <c r="AP1045" s="621" t="s">
        <v>6684</v>
      </c>
      <c r="AQ1045" s="1132" t="s">
        <v>161</v>
      </c>
      <c r="AR1045" s="432" t="s">
        <v>6703</v>
      </c>
      <c r="AS1045" s="432" t="s">
        <v>6704</v>
      </c>
      <c r="AT1045" s="432" t="s">
        <v>6704</v>
      </c>
      <c r="AU10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5" s="621"/>
      <c r="AW1045" s="628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28">
        <f>IF(ISERROR(PV_DATA[[#This Row],[New Ark PO status]]),"",_xlfn.XLOOKUP(PV_DATA[[#This Row],[SPTN-PVHK New Ark PO'#]],New_Ark_Data[Purchase order Number],New_Ark_Data[Estimated time of arrival],"",0))</f>
        <v>0</v>
      </c>
      <c r="AZ104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628">
        <f>IFERROR(PV_DATA[[#This Row],[ODP ETA Port]]+PV_DATA[[#This Row],[Customs/Leg3 Assumption]],"n/a")</f>
        <v>46316</v>
      </c>
      <c r="BB1045" s="622">
        <f>YEAR(PV_DATA[[#This Row],[ETA for New Ark update]])</f>
        <v>2026</v>
      </c>
      <c r="BC1045" s="621">
        <f>MONTH(PV_DATA[[#This Row],[ETA for New Ark update]])</f>
        <v>10</v>
      </c>
      <c r="BD1045" s="621">
        <f>IFERROR(_xlfn.ISOWEEKNUM(PV_DATA[[#This Row],[ETA for New Ark update]]),0)</f>
        <v>43</v>
      </c>
      <c r="BE1045" s="621">
        <f>_xlfn.XLOOKUP(PV_DATA[[#This Row],[New Ark SKU]],Table9[New Ark SKU],Table9[Total PCS per Pallet],,0)</f>
        <v>36</v>
      </c>
      <c r="BF1045" s="621">
        <f>_xlfn.XLOOKUP(PV_DATA[[#This Row],[New Ark SKU]],Table9[New Ark SKU],Table9[Total PCS per 40HQ Container],,0)</f>
        <v>720</v>
      </c>
      <c r="BG1045" s="621" t="str">
        <f>_xlfn.XLOOKUP(PV_DATA[[#This Row],[New Ark SKU]],Table9[New Ark SKU],Table9[Back Glass],,0)</f>
        <v>Redirection Film</v>
      </c>
      <c r="BH1045" s="631" t="str">
        <f>_xlfn.XLOOKUP(PV_DATA[[#This Row],[PORT DESTINATION]],Table12[PORT DESTINATION],Table12[Cosco Line],,0)</f>
        <v>AEU</v>
      </c>
    </row>
    <row r="1046" spans="1:62" ht="10.5" hidden="1">
      <c r="A1046" s="463" t="s">
        <v>6706</v>
      </c>
      <c r="B1046" s="447" t="s">
        <v>6707</v>
      </c>
      <c r="C1046" s="463" t="str">
        <f>IFERROR(LEFT(PV_DATA[[#This Row],[TCL REFERENCE]],FIND(".",PV_DATA[[#This Row],[TCL REFERENCE]],1)-1),"Main Line")</f>
        <v>26Aug006</v>
      </c>
      <c r="D1046" s="463" t="s">
        <v>63</v>
      </c>
      <c r="E1046" s="463" t="s">
        <v>64</v>
      </c>
      <c r="F1046" s="463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6" s="463" t="s">
        <v>402</v>
      </c>
      <c r="H1046" s="463" t="s">
        <v>67</v>
      </c>
      <c r="I1046" s="440" t="s">
        <v>882</v>
      </c>
      <c r="J1046" s="431" t="s">
        <v>96</v>
      </c>
      <c r="K1046" s="431"/>
      <c r="L1046" s="431"/>
      <c r="M1046" s="431" t="s">
        <v>6273</v>
      </c>
      <c r="N1046" s="433">
        <v>46258</v>
      </c>
      <c r="O1046" s="431" t="s">
        <v>4526</v>
      </c>
      <c r="P1046" s="431" t="s">
        <v>691</v>
      </c>
      <c r="Q1046" s="431" t="s">
        <v>692</v>
      </c>
      <c r="R1046" s="431" t="str">
        <f>_xlfn.XLOOKUP(PV_DATA[[#This Row],[New Ark SKU]],Table9[New Ark SKU],Table9[Connector],,0)</f>
        <v>EVO2A</v>
      </c>
      <c r="S1046" s="443" t="str">
        <f>_xlfn.XLOOKUP(PV_DATA[[#This Row],[New Ark SKU]],Table9[New Ark SKU],Table9[Cable],,0)</f>
        <v>±1200mm</v>
      </c>
      <c r="T1046" s="443">
        <v>505</v>
      </c>
      <c r="U1046" s="1212">
        <f>2592+1728</f>
        <v>4320</v>
      </c>
      <c r="V1046" s="449">
        <f>PV_DATA[[#This Row],[QUANTITY]]*PV_DATA[[#This Row],[WATT]]/1000000</f>
        <v>2.1816</v>
      </c>
      <c r="W1046" s="467">
        <f>PV_DATA[[#This Row],[QUANTITY]]/PV_DATA[[#This Row],[Qty/Pallet]]</f>
        <v>120</v>
      </c>
      <c r="X1046" s="1114">
        <f>PV_DATA[[#This Row],[QUANTITY]]/PV_DATA[[#This Row],[Qty/CT]]</f>
        <v>5</v>
      </c>
      <c r="Y1046" s="432" t="s">
        <v>2466</v>
      </c>
      <c r="Z1046" s="432" t="str">
        <f>IF(AN1046&lt;&gt;"","COMPLETED",IF(AK1046&lt;&gt;"","IN-TRANSIT",""))</f>
        <v/>
      </c>
      <c r="AA1046" s="663">
        <v>46276</v>
      </c>
      <c r="AB1046" s="442">
        <v>46276</v>
      </c>
      <c r="AC1046" s="487">
        <f>IF(PV_DATA[[#This Row],[Pick-Up Date]]&lt;&gt;"",_xlfn.ISOWEEKNUM(PV_DATA[[#This Row],[Pick-Up Date]]),"")</f>
        <v>37</v>
      </c>
      <c r="AE1046" s="431"/>
      <c r="AF1046" s="431" t="s">
        <v>123</v>
      </c>
      <c r="AG1046" s="431" t="s">
        <v>123</v>
      </c>
      <c r="AH1046" s="431" t="s">
        <v>78</v>
      </c>
      <c r="AI1046" s="438">
        <v>46282</v>
      </c>
      <c r="AJ1046" s="438">
        <f>IFERROR(VLOOKUP(AT1046, Vessel!A:D, 4, FALSE), "")</f>
        <v>46279.6875</v>
      </c>
      <c r="AK1046" s="438"/>
      <c r="AL1046" s="438">
        <v>46323</v>
      </c>
      <c r="AM1046" s="620">
        <f>IFERROR(VLOOKUP(AT1046, Vessel!A:H, 8, FALSE), "")</f>
        <v>46323.25</v>
      </c>
      <c r="AN1046" s="588"/>
      <c r="AP1046" s="431" t="s">
        <v>6708</v>
      </c>
      <c r="AQ1046" s="619" t="s">
        <v>80</v>
      </c>
      <c r="AR1046" s="1132" t="s">
        <v>6709</v>
      </c>
      <c r="AS1046" s="432" t="s">
        <v>6710</v>
      </c>
      <c r="AT1046" s="432" t="s">
        <v>6710</v>
      </c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43.5625</v>
      </c>
      <c r="AW1046" s="438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8" t="str">
        <f>IF(ISERROR(PV_DATA[[#This Row],[New Ark PO status]]),"",_xlfn.XLOOKUP(PV_DATA[[#This Row],[SPTN-PVHK New Ark PO'#]],New_Ark_Data[Purchase order Number],New_Ark_Data[Estimated time of arrival],"",0))</f>
        <v/>
      </c>
      <c r="AZ10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6" s="438">
        <f>IFERROR(PV_DATA[[#This Row],[ODP ETA Port]]+PV_DATA[[#This Row],[Customs/Leg3 Assumption]],"n/a")</f>
        <v>46331.25</v>
      </c>
      <c r="BB1046" s="434">
        <f>YEAR(PV_DATA[[#This Row],[ETA for New Ark update]])</f>
        <v>2026</v>
      </c>
      <c r="BC1046" s="431">
        <f>MONTH(PV_DATA[[#This Row],[ETA for New Ark update]])</f>
        <v>11</v>
      </c>
      <c r="BD1046" s="431">
        <f>IFERROR(_xlfn.ISOWEEKNUM(PV_DATA[[#This Row],[ETA for New Ark update]]),0)</f>
        <v>45</v>
      </c>
      <c r="BE1046" s="431">
        <f>_xlfn.XLOOKUP(PV_DATA[[#This Row],[New Ark SKU]],Table9[New Ark SKU],Table9[Total PCS per Pallet],,0)</f>
        <v>36</v>
      </c>
      <c r="BF1046" s="431">
        <f>_xlfn.XLOOKUP(PV_DATA[[#This Row],[New Ark SKU]],Table9[New Ark SKU],Table9[Total PCS per 40HQ Container],,0)</f>
        <v>864</v>
      </c>
      <c r="BG1046" s="431" t="str">
        <f>_xlfn.XLOOKUP(PV_DATA[[#This Row],[New Ark SKU]],Table9[New Ark SKU],Table9[Back Glass],,0)</f>
        <v>Black glazing</v>
      </c>
      <c r="BH1046" s="431" t="str">
        <f>_xlfn.XLOOKUP(PV_DATA[[#This Row],[PORT DESTINATION]],Table12[PORT DESTINATION],Table12[Cosco Line],,0)</f>
        <v>AEM</v>
      </c>
      <c r="BJ1046" s="431"/>
    </row>
    <row r="1047" spans="1:62" ht="10.5" hidden="1">
      <c r="A1047" s="1364" t="s">
        <v>6711</v>
      </c>
      <c r="B1047" s="463" t="s">
        <v>111</v>
      </c>
      <c r="C1047" s="463" t="str">
        <f>IFERROR(LEFT(PV_DATA[[#This Row],[TCL REFERENCE]],FIND(".",PV_DATA[[#This Row],[TCL REFERENCE]],1)-1),"Main Line")</f>
        <v>26Aug020</v>
      </c>
      <c r="D1047" s="463" t="s">
        <v>63</v>
      </c>
      <c r="E1047" s="440" t="s">
        <v>64</v>
      </c>
      <c r="F1047" s="440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0" t="s">
        <v>402</v>
      </c>
      <c r="H1047" s="463" t="s">
        <v>67</v>
      </c>
      <c r="I1047" s="440" t="s">
        <v>689</v>
      </c>
      <c r="J1047" s="431" t="s">
        <v>96</v>
      </c>
      <c r="K1047" s="431"/>
      <c r="L1047" s="431"/>
      <c r="M1047" s="431" t="s">
        <v>6273</v>
      </c>
      <c r="N1047" s="462">
        <v>46238</v>
      </c>
      <c r="O1047" s="431" t="s">
        <v>132</v>
      </c>
      <c r="P1047" s="431" t="s">
        <v>1062</v>
      </c>
      <c r="Q1047" s="431" t="s">
        <v>1063</v>
      </c>
      <c r="R1047" s="432" t="str">
        <f>_xlfn.XLOOKUP(PV_DATA[[#This Row],[New Ark SKU]],Table9[New Ark SKU],Table9[Connector],,0)</f>
        <v>EVO2A</v>
      </c>
      <c r="S1047" s="443" t="str">
        <f>_xlfn.XLOOKUP(PV_DATA[[#This Row],[New Ark SKU]],Table9[New Ark SKU],Table9[Cable],,0)</f>
        <v>±1200mm</v>
      </c>
      <c r="T1047" s="443">
        <v>470</v>
      </c>
      <c r="U1047" s="1212">
        <f>864*3</f>
        <v>2592</v>
      </c>
      <c r="V1047" s="449">
        <f>PV_DATA[[#This Row],[QUANTITY]]*PV_DATA[[#This Row],[WATT]]/1000000</f>
        <v>1.21824</v>
      </c>
      <c r="W1047" s="467">
        <f>PV_DATA[[#This Row],[QUANTITY]]/PV_DATA[[#This Row],[Qty/Pallet]]</f>
        <v>72</v>
      </c>
      <c r="X1047" s="1114">
        <f>PV_DATA[[#This Row],[QUANTITY]]/PV_DATA[[#This Row],[Qty/CT]]</f>
        <v>3</v>
      </c>
      <c r="Y1047" s="432" t="s">
        <v>2468</v>
      </c>
      <c r="Z1047" s="432"/>
      <c r="AA1047" s="432" t="s">
        <v>5848</v>
      </c>
      <c r="AB1047" s="442">
        <v>46274</v>
      </c>
      <c r="AC1047" s="619"/>
      <c r="AD1047" s="440" t="s">
        <v>6712</v>
      </c>
      <c r="AE1047" s="431"/>
      <c r="AF1047" s="431" t="s">
        <v>122</v>
      </c>
      <c r="AG1047" s="431" t="s">
        <v>123</v>
      </c>
      <c r="AH1047" s="432" t="s">
        <v>78</v>
      </c>
      <c r="AI1047" s="438">
        <v>46278</v>
      </c>
      <c r="AJ1047" s="438" t="str">
        <f>IFERROR(VLOOKUP(AT1047, Vessel!A:D, 4, FALSE), "")</f>
        <v/>
      </c>
      <c r="AK1047" s="438" t="str">
        <f>IFERROR(IF(VLOOKUP(AT1047,Vessel!A:F,5,FALSE)=0,"",VLOOKUP(AT1047,Vessel!A:F,5,FALSE)),"")</f>
        <v/>
      </c>
      <c r="AL1047" s="438">
        <v>46330</v>
      </c>
      <c r="AN1047" s="438"/>
      <c r="AP1047" s="431" t="s">
        <v>6713</v>
      </c>
      <c r="AQ1047" s="431" t="s">
        <v>161</v>
      </c>
      <c r="AR1047" s="431" t="s">
        <v>6714</v>
      </c>
      <c r="AS1047" s="431">
        <v>276098842</v>
      </c>
      <c r="AT1047" s="431">
        <v>276098842</v>
      </c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47" s="438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8" t="str">
        <f>IF(ISERROR(PV_DATA[[#This Row],[New Ark PO status]]),"",_xlfn.XLOOKUP(PV_DATA[[#This Row],[SPTN-PVHK New Ark PO'#]],New_Ark_Data[Purchase order Number],New_Ark_Data[Estimated time of arrival],"",0))</f>
        <v/>
      </c>
      <c r="AZ104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38">
        <f>IFERROR(PV_DATA[[#This Row],[ODP ETA Port]]+PV_DATA[[#This Row],[Customs/Leg3 Assumption]],"n/a")</f>
        <v>46338</v>
      </c>
      <c r="BB1047" s="434">
        <f>YEAR(PV_DATA[[#This Row],[ETA for New Ark update]])</f>
        <v>2026</v>
      </c>
      <c r="BC1047" s="431">
        <f>MONTH(PV_DATA[[#This Row],[ETA for New Ark update]])</f>
        <v>11</v>
      </c>
      <c r="BD1047" s="431">
        <f>IFERROR(_xlfn.ISOWEEKNUM(PV_DATA[[#This Row],[ETA for New Ark update]]),0)</f>
        <v>46</v>
      </c>
      <c r="BE1047" s="432">
        <f>_xlfn.XLOOKUP(PV_DATA[[#This Row],[New Ark SKU]],Table9[New Ark SKU],Table9[Total PCS per Pallet],,0)</f>
        <v>36</v>
      </c>
      <c r="BF1047" s="432">
        <f>_xlfn.XLOOKUP(PV_DATA[[#This Row],[New Ark SKU]],Table9[New Ark SKU],Table9[Total PCS per 40HQ Container],,0)</f>
        <v>864</v>
      </c>
      <c r="BG1047" s="432" t="str">
        <f>_xlfn.XLOOKUP(PV_DATA[[#This Row],[New Ark SKU]],Table9[New Ark SKU],Table9[Back Glass],,0)</f>
        <v>White glazing</v>
      </c>
      <c r="BH1047" s="432" t="str">
        <f>_xlfn.XLOOKUP(PV_DATA[[#This Row],[PORT DESTINATION]],Table12[PORT DESTINATION],Table12[Cosco Line],,0)</f>
        <v>AEM</v>
      </c>
      <c r="BJ1047" s="431"/>
    </row>
    <row r="1048" spans="1:62" ht="10.5" hidden="1">
      <c r="A1048" s="729" t="s">
        <v>6715</v>
      </c>
      <c r="B1048" s="728" t="s">
        <v>111</v>
      </c>
      <c r="C1048" s="440" t="str">
        <f>IFERROR(LEFT(PV_DATA[[#This Row],[TCL REFERENCE]],FIND(".",PV_DATA[[#This Row],[TCL REFERENCE]],1)-1),"Main Line")</f>
        <v>26Aug010</v>
      </c>
      <c r="D1048" s="728" t="s">
        <v>113</v>
      </c>
      <c r="E1048" s="440" t="s">
        <v>144</v>
      </c>
      <c r="F1048" s="728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8" s="440" t="s">
        <v>402</v>
      </c>
      <c r="H1048" s="440" t="s">
        <v>6716</v>
      </c>
      <c r="I1048" s="440" t="s">
        <v>6717</v>
      </c>
      <c r="J1048" s="440" t="s">
        <v>6716</v>
      </c>
      <c r="K1048" s="621" t="s">
        <v>6718</v>
      </c>
      <c r="L1048" s="621">
        <v>1</v>
      </c>
      <c r="M1048" s="952" t="s">
        <v>6719</v>
      </c>
      <c r="N1048" s="632"/>
      <c r="O1048" s="621" t="s">
        <v>4526</v>
      </c>
      <c r="P1048" s="625" t="s">
        <v>6207</v>
      </c>
      <c r="Q1048" s="621" t="s">
        <v>330</v>
      </c>
      <c r="R1048" s="621" t="str">
        <f>_xlfn.XLOOKUP(PV_DATA[[#This Row],[New Ark SKU]],Table9[New Ark SKU],Table9[Connector],,0)</f>
        <v>H4(Com)</v>
      </c>
      <c r="S1048" s="622" t="str">
        <f>_xlfn.XLOOKUP(PV_DATA[[#This Row],[New Ark SKU]],Table9[New Ark SKU],Table9[Cable],,0)</f>
        <v>+400mm/-200mm</v>
      </c>
      <c r="T1048" s="622">
        <v>625</v>
      </c>
      <c r="U1048" s="1212">
        <f>720*8</f>
        <v>5760</v>
      </c>
      <c r="V1048" s="626">
        <f>PV_DATA[[#This Row],[QUANTITY]]*PV_DATA[[#This Row],[WATT]]/1000000</f>
        <v>3.6</v>
      </c>
      <c r="W1048" s="467">
        <f>PV_DATA[[#This Row],[QUANTITY]]/36</f>
        <v>160</v>
      </c>
      <c r="X1048" s="1118">
        <f>PV_DATA[[#This Row],[QUANTITY]]/PV_DATA[[#This Row],[Qty/CT]]</f>
        <v>8</v>
      </c>
      <c r="Y1048" s="432" t="s">
        <v>2467</v>
      </c>
      <c r="Z1048" s="431" t="str">
        <f t="shared" ref="Z1048:Z1060" si="21">IF(AN1048&lt;&gt;"","COMPLETED",IF(AK1048&lt;&gt;"","IN-TRANSIT",""))</f>
        <v/>
      </c>
      <c r="AA1048" s="621"/>
      <c r="AB1048" s="628">
        <v>46277</v>
      </c>
      <c r="AC1048" s="629">
        <f>IF(PV_DATA[[#This Row],[Pick-Up Date]]&lt;&gt;"",_xlfn.ISOWEEKNUM(PV_DATA[[#This Row],[Pick-Up Date]]),"")</f>
        <v>37</v>
      </c>
      <c r="AD1048" s="621"/>
      <c r="AE1048" s="621"/>
      <c r="AF1048" s="621" t="s">
        <v>122</v>
      </c>
      <c r="AG1048" s="621" t="s">
        <v>122</v>
      </c>
      <c r="AH1048" s="431" t="s">
        <v>6492</v>
      </c>
      <c r="AI1048" s="628">
        <v>46280</v>
      </c>
      <c r="AJ1048" s="438" t="str">
        <f>IFERROR(VLOOKUP(AT1048, Vessel!A:D, 4, FALSE), "")</f>
        <v/>
      </c>
      <c r="AK1048" s="438" t="str">
        <f>IFERROR(IF(VLOOKUP(AT1048,Vessel!A:F,5,FALSE)=0,"",VLOOKUP(AT1048,Vessel!A:F,5,FALSE)),"")</f>
        <v/>
      </c>
      <c r="AL1048" s="628">
        <v>46324</v>
      </c>
      <c r="AM1048" s="628"/>
      <c r="AN1048" s="588" t="str">
        <f>IFERROR(IF(VLOOKUP(AT1048,Vessel!A:I,9,FALSE)=0,"",VLOOKUP(AT1048,Vessel!A:I,9,FALSE)),"")</f>
        <v/>
      </c>
      <c r="AO1048" s="621"/>
      <c r="AP1048" s="621" t="s">
        <v>6628</v>
      </c>
      <c r="AQ1048" s="630" t="s">
        <v>161</v>
      </c>
      <c r="AR1048" s="621" t="s">
        <v>6720</v>
      </c>
      <c r="AS1048" s="621" t="s">
        <v>6721</v>
      </c>
      <c r="AT1048" s="432" t="s">
        <v>6721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48" s="621"/>
      <c r="AW1048" s="62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28">
        <f>IF(ISERROR(PV_DATA[[#This Row],[New Ark PO status]]),"",_xlfn.XLOOKUP(PV_DATA[[#This Row],[SPTN-PVHK New Ark PO'#]],New_Ark_Data[Purchase order Number],New_Ark_Data[Estimated time of arrival],"",0))</f>
        <v>0</v>
      </c>
      <c r="AZ104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8" s="628">
        <f>IFERROR(PV_DATA[[#This Row],[ODP ETA Port]]+PV_DATA[[#This Row],[Customs/Leg3 Assumption]],"n/a")</f>
        <v>46324</v>
      </c>
      <c r="BB1048" s="443" t="s">
        <v>6273</v>
      </c>
      <c r="BC1048" s="443" t="s">
        <v>6273</v>
      </c>
      <c r="BD1048" s="621">
        <f>IFERROR(_xlfn.ISOWEEKNUM(PV_DATA[[#This Row],[ETA for New Ark update]]),0)</f>
        <v>44</v>
      </c>
      <c r="BE1048" s="621">
        <f>_xlfn.XLOOKUP(PV_DATA[[#This Row],[New Ark SKU]],Table9[New Ark SKU],Table9[Total PCS per Pallet],,0)</f>
        <v>36</v>
      </c>
      <c r="BF1048" s="621">
        <f>_xlfn.XLOOKUP(PV_DATA[[#This Row],[New Ark SKU]],Table9[New Ark SKU],Table9[Total PCS per 40HQ Container],,0)</f>
        <v>720</v>
      </c>
      <c r="BG1048" s="621" t="str">
        <f>_xlfn.XLOOKUP(PV_DATA[[#This Row],[New Ark SKU]],Table9[New Ark SKU],Table9[Back Glass],,0)</f>
        <v>Redirection Film</v>
      </c>
      <c r="BH1048" s="631" t="str">
        <f>_xlfn.XLOOKUP(PV_DATA[[#This Row],[PORT DESTINATION]],Table12[PORT DESTINATION],Table12[Cosco Line],,0)</f>
        <v>n/a</v>
      </c>
      <c r="BJ1048" s="431"/>
    </row>
    <row r="1049" spans="1:62" ht="10.5" hidden="1">
      <c r="A1049" s="729" t="s">
        <v>6722</v>
      </c>
      <c r="B1049" s="728" t="s">
        <v>111</v>
      </c>
      <c r="C1049" s="440" t="str">
        <f>IFERROR(LEFT(PV_DATA[[#This Row],[TCL REFERENCE]],FIND(".",PV_DATA[[#This Row],[TCL REFERENCE]],1)-1),"Main Line")</f>
        <v>26Aug010</v>
      </c>
      <c r="D1049" s="728" t="s">
        <v>113</v>
      </c>
      <c r="E1049" s="440" t="s">
        <v>144</v>
      </c>
      <c r="F1049" s="728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9" s="440" t="s">
        <v>402</v>
      </c>
      <c r="H1049" s="440" t="s">
        <v>6716</v>
      </c>
      <c r="I1049" s="440" t="s">
        <v>6717</v>
      </c>
      <c r="J1049" s="440" t="s">
        <v>6716</v>
      </c>
      <c r="K1049" s="621" t="s">
        <v>6718</v>
      </c>
      <c r="L1049" s="621">
        <v>2</v>
      </c>
      <c r="M1049" s="952" t="s">
        <v>6719</v>
      </c>
      <c r="N1049" s="632"/>
      <c r="O1049" s="621" t="s">
        <v>4526</v>
      </c>
      <c r="P1049" s="625" t="s">
        <v>6207</v>
      </c>
      <c r="Q1049" s="621" t="s">
        <v>330</v>
      </c>
      <c r="R1049" s="621" t="str">
        <f>_xlfn.XLOOKUP(PV_DATA[[#This Row],[New Ark SKU]],Table9[New Ark SKU],Table9[Connector],,0)</f>
        <v>H4(Com)</v>
      </c>
      <c r="S1049" s="622" t="str">
        <f>_xlfn.XLOOKUP(PV_DATA[[#This Row],[New Ark SKU]],Table9[New Ark SKU],Table9[Cable],,0)</f>
        <v>+400mm/-200mm</v>
      </c>
      <c r="T1049" s="622">
        <v>625</v>
      </c>
      <c r="U1049" s="1212">
        <f>720*14</f>
        <v>10080</v>
      </c>
      <c r="V1049" s="626">
        <f>PV_DATA[[#This Row],[QUANTITY]]*PV_DATA[[#This Row],[WATT]]/1000000</f>
        <v>6.3</v>
      </c>
      <c r="W1049" s="467">
        <f>PV_DATA[[#This Row],[QUANTITY]]/36</f>
        <v>280</v>
      </c>
      <c r="X1049" s="1118">
        <f>PV_DATA[[#This Row],[QUANTITY]]/PV_DATA[[#This Row],[Qty/CT]]</f>
        <v>14</v>
      </c>
      <c r="Y1049" s="432" t="s">
        <v>6723</v>
      </c>
      <c r="Z1049" s="431" t="str">
        <f t="shared" si="21"/>
        <v/>
      </c>
      <c r="AA1049" s="621"/>
      <c r="AB1049" s="628">
        <v>46280</v>
      </c>
      <c r="AC1049" s="629">
        <f>IF(PV_DATA[[#This Row],[Pick-Up Date]]&lt;&gt;"",_xlfn.ISOWEEKNUM(PV_DATA[[#This Row],[Pick-Up Date]]),"")</f>
        <v>38</v>
      </c>
      <c r="AD1049" s="621"/>
      <c r="AE1049" s="621"/>
      <c r="AF1049" s="621" t="s">
        <v>122</v>
      </c>
      <c r="AG1049" s="621" t="s">
        <v>122</v>
      </c>
      <c r="AH1049" s="431" t="s">
        <v>6492</v>
      </c>
      <c r="AI1049" s="628">
        <v>46280</v>
      </c>
      <c r="AJ1049" s="438" t="str">
        <f>IFERROR(VLOOKUP(AT1049, Vessel!A:D, 4, FALSE), "")</f>
        <v/>
      </c>
      <c r="AK1049" s="438" t="str">
        <f>IFERROR(IF(VLOOKUP(AT1049,Vessel!A:F,5,FALSE)=0,"",VLOOKUP(AT1049,Vessel!A:F,5,FALSE)),"")</f>
        <v/>
      </c>
      <c r="AL1049" s="628">
        <v>46332</v>
      </c>
      <c r="AM1049" s="628"/>
      <c r="AN1049" s="588" t="str">
        <f>IFERROR(IF(VLOOKUP(AT1049,Vessel!A:I,9,FALSE)=0,"",VLOOKUP(AT1049,Vessel!A:I,9,FALSE)),"")</f>
        <v/>
      </c>
      <c r="AO1049" s="621"/>
      <c r="AP1049" s="621" t="s">
        <v>6724</v>
      </c>
      <c r="AQ1049" s="630" t="s">
        <v>161</v>
      </c>
      <c r="AR1049" s="621" t="s">
        <v>6725</v>
      </c>
      <c r="AS1049" s="621" t="s">
        <v>6726</v>
      </c>
      <c r="AT1049" s="621" t="s">
        <v>6726</v>
      </c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1049" s="621"/>
      <c r="AW1049" s="628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628">
        <f>IF(ISERROR(PV_DATA[[#This Row],[New Ark PO status]]),"",_xlfn.XLOOKUP(PV_DATA[[#This Row],[SPTN-PVHK New Ark PO'#]],New_Ark_Data[Purchase order Number],New_Ark_Data[Estimated time of arrival],"",0))</f>
        <v>0</v>
      </c>
      <c r="AZ1049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9" s="628">
        <f>IFERROR(PV_DATA[[#This Row],[ODP ETA Port]]+PV_DATA[[#This Row],[Customs/Leg3 Assumption]],"n/a")</f>
        <v>46332</v>
      </c>
      <c r="BB1049" s="443" t="s">
        <v>6273</v>
      </c>
      <c r="BC1049" s="443" t="s">
        <v>6273</v>
      </c>
      <c r="BD1049" s="621">
        <f>IFERROR(_xlfn.ISOWEEKNUM(PV_DATA[[#This Row],[ETA for New Ark update]]),0)</f>
        <v>45</v>
      </c>
      <c r="BE1049" s="621">
        <f>_xlfn.XLOOKUP(PV_DATA[[#This Row],[New Ark SKU]],Table9[New Ark SKU],Table9[Total PCS per Pallet],,0)</f>
        <v>36</v>
      </c>
      <c r="BF1049" s="621">
        <f>_xlfn.XLOOKUP(PV_DATA[[#This Row],[New Ark SKU]],Table9[New Ark SKU],Table9[Total PCS per 40HQ Container],,0)</f>
        <v>720</v>
      </c>
      <c r="BG1049" s="621" t="str">
        <f>_xlfn.XLOOKUP(PV_DATA[[#This Row],[New Ark SKU]],Table9[New Ark SKU],Table9[Back Glass],,0)</f>
        <v>Redirection Film</v>
      </c>
      <c r="BH1049" s="631" t="str">
        <f>_xlfn.XLOOKUP(PV_DATA[[#This Row],[PORT DESTINATION]],Table12[PORT DESTINATION],Table12[Cosco Line],,0)</f>
        <v>n/a</v>
      </c>
      <c r="BJ1049" s="431"/>
    </row>
    <row r="1050" spans="1:62" ht="10.5" hidden="1">
      <c r="A1050" s="730" t="s">
        <v>6727</v>
      </c>
      <c r="B1050" s="728" t="s">
        <v>1757</v>
      </c>
      <c r="C1050" s="440" t="str">
        <f>IFERROR(LEFT(PV_DATA[[#This Row],[TCL REFERENCE]],FIND(".",PV_DATA[[#This Row],[TCL REFERENCE]],1)-1),"Main Line")</f>
        <v>26Jul007</v>
      </c>
      <c r="D1050" s="440" t="s">
        <v>63</v>
      </c>
      <c r="E1050" s="440" t="s">
        <v>144</v>
      </c>
      <c r="F1050" s="440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440" t="s">
        <v>402</v>
      </c>
      <c r="H1050" s="440" t="s">
        <v>881</v>
      </c>
      <c r="I1050" s="463" t="s">
        <v>1395</v>
      </c>
      <c r="J1050" s="440" t="s">
        <v>881</v>
      </c>
      <c r="K1050" s="447" t="s">
        <v>6728</v>
      </c>
      <c r="L1050" s="432">
        <v>2</v>
      </c>
      <c r="M1050" s="432" t="s">
        <v>840</v>
      </c>
      <c r="N1050" s="462">
        <v>46209</v>
      </c>
      <c r="O1050" s="621" t="s">
        <v>4526</v>
      </c>
      <c r="P1050" s="625" t="s">
        <v>71</v>
      </c>
      <c r="Q1050" s="621" t="s">
        <v>72</v>
      </c>
      <c r="R1050" s="621" t="str">
        <f>_xlfn.XLOOKUP(PV_DATA[[#This Row],[New Ark SKU]],Table9[New Ark SKU],Table9[Connector],,0)</f>
        <v>EVO2A</v>
      </c>
      <c r="S1050" s="443" t="str">
        <f>_xlfn.XLOOKUP(PV_DATA[[#This Row],[New Ark SKU]],Table9[New Ark SKU],Table9[Cable],,0)</f>
        <v>±1200mm</v>
      </c>
      <c r="T1050" s="622">
        <v>500</v>
      </c>
      <c r="U1050" s="1156">
        <f>864*5</f>
        <v>4320</v>
      </c>
      <c r="V1050" s="626">
        <f>PV_DATA[[#This Row],[QUANTITY]]*PV_DATA[[#This Row],[WATT]]/1000000</f>
        <v>2.16</v>
      </c>
      <c r="W1050" s="627">
        <f>PV_DATA[[#This Row],[QUANTITY]]/PV_DATA[[#This Row],[Qty/Pallet]]</f>
        <v>120</v>
      </c>
      <c r="X1050" s="1114">
        <f>PV_DATA[[#This Row],[QUANTITY]]/PV_DATA[[#This Row],[Qty/CT]]</f>
        <v>5</v>
      </c>
      <c r="Y1050" s="432" t="s">
        <v>2469</v>
      </c>
      <c r="Z1050" s="432" t="str">
        <f t="shared" si="21"/>
        <v/>
      </c>
      <c r="AA1050" s="858" t="s">
        <v>6663</v>
      </c>
      <c r="AB1050" s="628"/>
      <c r="AC1050" s="629" t="str">
        <f>IF(PV_DATA[[#This Row],[Pick-Up Date]]&lt;&gt;"",_xlfn.ISOWEEKNUM(PV_DATA[[#This Row],[Pick-Up Date]]),"")</f>
        <v/>
      </c>
      <c r="AD1050" s="621"/>
      <c r="AE1050" s="621"/>
      <c r="AF1050" s="448" t="s">
        <v>123</v>
      </c>
      <c r="AG1050" s="448" t="s">
        <v>123</v>
      </c>
      <c r="AH1050" s="432" t="s">
        <v>888</v>
      </c>
      <c r="AI1050" s="628">
        <v>46295</v>
      </c>
      <c r="AJ1050" s="442"/>
      <c r="AK1050" s="438" t="str">
        <f>IFERROR(IF(VLOOKUP(AT1050,Vessel!A:F,5,FALSE)=0,"",VLOOKUP(AT1050,Vessel!A:F,5,FALSE)),"")</f>
        <v/>
      </c>
      <c r="AL1050" s="628">
        <v>46338</v>
      </c>
      <c r="AM1050" s="620">
        <f>IFERROR(VLOOKUP(AT1050, Vessel!A:H, 8, FALSE), "")</f>
        <v>46338.125</v>
      </c>
      <c r="AN1050" s="588" t="str">
        <f>IFERROR(IF(VLOOKUP(AT1050,Vessel!A:I,9,FALSE)=0,"",VLOOKUP(AT1050,Vessel!A:I,9,FALSE)),"")</f>
        <v/>
      </c>
      <c r="AO1050" s="621"/>
      <c r="AP1050" s="621" t="s">
        <v>6729</v>
      </c>
      <c r="AQ1050" s="621" t="s">
        <v>80</v>
      </c>
      <c r="AR1050" s="621" t="s">
        <v>6730</v>
      </c>
      <c r="AS1050" s="621" t="s">
        <v>6731</v>
      </c>
      <c r="AT1050" s="432" t="s">
        <v>6731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43.125</v>
      </c>
      <c r="AV1050" s="621"/>
      <c r="AW1050" s="628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46338.125</v>
      </c>
      <c r="AX10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628">
        <f>IF(ISERROR(PV_DATA[[#This Row],[New Ark PO status]]),"",_xlfn.XLOOKUP(PV_DATA[[#This Row],[SPTN-PVHK New Ark PO'#]],New_Ark_Data[Purchase order Number],New_Ark_Data[Estimated time of arrival],"",0))</f>
        <v>0</v>
      </c>
      <c r="AZ105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628">
        <f>IFERROR(PV_DATA[[#This Row],[ODP ETA Port]]+PV_DATA[[#This Row],[Customs/Leg3 Assumption]],"n/a")</f>
        <v>46338.125</v>
      </c>
      <c r="BB1050" s="443">
        <f>YEAR(PV_DATA[[#This Row],[ETA for New Ark update]])</f>
        <v>2026</v>
      </c>
      <c r="BC1050" s="432">
        <f>MONTH(PV_DATA[[#This Row],[ETA for New Ark update]])</f>
        <v>11</v>
      </c>
      <c r="BD1050" s="621">
        <f>IFERROR(_xlfn.ISOWEEKNUM(PV_DATA[[#This Row],[ETA for New Ark update]]),0)</f>
        <v>46</v>
      </c>
      <c r="BE1050" s="621">
        <f>_xlfn.XLOOKUP(PV_DATA[[#This Row],[New Ark SKU]],Table9[New Ark SKU],Table9[Total PCS per Pallet],,0)</f>
        <v>36</v>
      </c>
      <c r="BF1050" s="621">
        <f>_xlfn.XLOOKUP(PV_DATA[[#This Row],[New Ark SKU]],Table9[New Ark SKU],Table9[Total PCS per 40HQ Container],,0)</f>
        <v>864</v>
      </c>
      <c r="BG1050" s="432" t="str">
        <f>_xlfn.XLOOKUP(PV_DATA[[#This Row],[New Ark SKU]],Table9[New Ark SKU],Table9[Back Glass],,0)</f>
        <v>Black glazing</v>
      </c>
      <c r="BH1050" s="631" t="str">
        <f>_xlfn.XLOOKUP(PV_DATA[[#This Row],[PORT DESTINATION]],Table12[PORT DESTINATION],Table12[Cosco Line],,0)</f>
        <v>AEU</v>
      </c>
      <c r="BJ1050" s="431"/>
    </row>
    <row r="1051" spans="1:62" ht="10.5" hidden="1">
      <c r="A1051" s="729" t="s">
        <v>6732</v>
      </c>
      <c r="B1051" s="728" t="s">
        <v>111</v>
      </c>
      <c r="C1051" s="440" t="str">
        <f>IFERROR(LEFT(PV_DATA[[#This Row],[TCL REFERENCE]],FIND(".",PV_DATA[[#This Row],[TCL REFERENCE]],1)-1),"Main Line")</f>
        <v>26Aug010</v>
      </c>
      <c r="D1051" s="728" t="s">
        <v>113</v>
      </c>
      <c r="E1051" s="440" t="s">
        <v>64</v>
      </c>
      <c r="F1051" s="440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0" t="s">
        <v>402</v>
      </c>
      <c r="H1051" s="440" t="s">
        <v>67</v>
      </c>
      <c r="I1051" s="440" t="s">
        <v>689</v>
      </c>
      <c r="J1051" s="432" t="s">
        <v>96</v>
      </c>
      <c r="K1051" s="621"/>
      <c r="L1051" s="621"/>
      <c r="M1051" s="432" t="s">
        <v>68</v>
      </c>
      <c r="N1051" s="632"/>
      <c r="O1051" s="621" t="s">
        <v>4526</v>
      </c>
      <c r="P1051" s="625" t="s">
        <v>6207</v>
      </c>
      <c r="Q1051" s="621" t="s">
        <v>330</v>
      </c>
      <c r="R1051" s="621" t="str">
        <f>_xlfn.XLOOKUP(PV_DATA[[#This Row],[New Ark SKU]],Table9[New Ark SKU],Table9[Connector],,0)</f>
        <v>H4(Com)</v>
      </c>
      <c r="S1051" s="622" t="str">
        <f>_xlfn.XLOOKUP(PV_DATA[[#This Row],[New Ark SKU]],Table9[New Ark SKU],Table9[Cable],,0)</f>
        <v>+400mm/-200mm</v>
      </c>
      <c r="T1051" s="622">
        <v>625</v>
      </c>
      <c r="U1051" s="1212">
        <v>3600</v>
      </c>
      <c r="V1051" s="626">
        <f>PV_DATA[[#This Row],[QUANTITY]]*PV_DATA[[#This Row],[WATT]]/1000000</f>
        <v>2.25</v>
      </c>
      <c r="W1051" s="467">
        <f>PV_DATA[[#This Row],[QUANTITY]]/36</f>
        <v>100</v>
      </c>
      <c r="X1051" s="1118">
        <f>PV_DATA[[#This Row],[QUANTITY]]/PV_DATA[[#This Row],[Qty/CT]]</f>
        <v>5</v>
      </c>
      <c r="Y1051" s="432" t="s">
        <v>2469</v>
      </c>
      <c r="Z1051" s="432" t="str">
        <f t="shared" si="21"/>
        <v/>
      </c>
      <c r="AA1051" s="621" t="s">
        <v>5848</v>
      </c>
      <c r="AB1051" s="628">
        <v>46279</v>
      </c>
      <c r="AC1051" s="629">
        <f>IF(PV_DATA[[#This Row],[Pick-Up Date]]&lt;&gt;"",_xlfn.ISOWEEKNUM(PV_DATA[[#This Row],[Pick-Up Date]]),"")</f>
        <v>38</v>
      </c>
      <c r="AD1051" s="621"/>
      <c r="AE1051" s="621"/>
      <c r="AF1051" s="621" t="s">
        <v>122</v>
      </c>
      <c r="AG1051" s="621" t="s">
        <v>122</v>
      </c>
      <c r="AH1051" s="432" t="s">
        <v>105</v>
      </c>
      <c r="AI1051" s="628">
        <v>46287</v>
      </c>
      <c r="AJ1051" s="438">
        <f>IFERROR(VLOOKUP(AT1051, Vessel!A:D, 4, FALSE), "")</f>
        <v>46288.416666666664</v>
      </c>
      <c r="AK1051" s="438" t="str">
        <f>IFERROR(IF(VLOOKUP(AT1051,Vessel!A:F,5,FALSE)=0,"",VLOOKUP(AT1051,Vessel!A:F,5,FALSE)),"")</f>
        <v/>
      </c>
      <c r="AL1051" s="628">
        <v>46323</v>
      </c>
      <c r="AM1051" s="628"/>
      <c r="AN1051" s="588" t="str">
        <f>IFERROR(IF(VLOOKUP(AT1051,Vessel!A:I,9,FALSE)=0,"",VLOOKUP(AT1051,Vessel!A:I,9,FALSE)),"")</f>
        <v/>
      </c>
      <c r="AO1051" s="621"/>
      <c r="AP1051" s="621" t="s">
        <v>6733</v>
      </c>
      <c r="AQ1051" s="630" t="s">
        <v>80</v>
      </c>
      <c r="AR1051" s="621" t="s">
        <v>6734</v>
      </c>
      <c r="AS1051" s="621" t="s">
        <v>6735</v>
      </c>
      <c r="AT1051" s="432" t="s">
        <v>6735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34.583333333335759</v>
      </c>
      <c r="AV1051" s="621"/>
      <c r="AW1051" s="62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8">
        <f>IF(ISERROR(PV_DATA[[#This Row],[New Ark PO status]]),"",_xlfn.XLOOKUP(PV_DATA[[#This Row],[SPTN-PVHK New Ark PO'#]],New_Ark_Data[Purchase order Number],New_Ark_Data[Estimated time of arrival],"",0))</f>
        <v>0</v>
      </c>
      <c r="AZ105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628">
        <f>IFERROR(PV_DATA[[#This Row],[ODP ETA Port]]+PV_DATA[[#This Row],[Customs/Leg3 Assumption]],"n/a")</f>
        <v>46330</v>
      </c>
      <c r="BB1051" s="443" t="s">
        <v>6531</v>
      </c>
      <c r="BC1051" s="443" t="s">
        <v>6531</v>
      </c>
      <c r="BD1051" s="621">
        <f>IFERROR(_xlfn.ISOWEEKNUM(PV_DATA[[#This Row],[ETA for New Ark update]]),0)</f>
        <v>45</v>
      </c>
      <c r="BE1051" s="621">
        <f>_xlfn.XLOOKUP(PV_DATA[[#This Row],[New Ark SKU]],Table9[New Ark SKU],Table9[Total PCS per Pallet],,0)</f>
        <v>36</v>
      </c>
      <c r="BF1051" s="621">
        <f>_xlfn.XLOOKUP(PV_DATA[[#This Row],[New Ark SKU]],Table9[New Ark SKU],Table9[Total PCS per 40HQ Container],,0)</f>
        <v>720</v>
      </c>
      <c r="BG1051" s="621" t="str">
        <f>_xlfn.XLOOKUP(PV_DATA[[#This Row],[New Ark SKU]],Table9[New Ark SKU],Table9[Back Glass],,0)</f>
        <v>Redirection Film</v>
      </c>
      <c r="BH1051" s="631" t="str">
        <f>_xlfn.XLOOKUP(PV_DATA[[#This Row],[PORT DESTINATION]],Table12[PORT DESTINATION],Table12[Cosco Line],,0)</f>
        <v>AEU</v>
      </c>
      <c r="BJ1051" s="431"/>
    </row>
    <row r="1052" spans="1:62" ht="13.5" hidden="1" customHeight="1">
      <c r="A1052" s="730" t="s">
        <v>6736</v>
      </c>
      <c r="B1052" s="440" t="s">
        <v>111</v>
      </c>
      <c r="C1052" s="440" t="str">
        <f>IFERROR(LEFT(PV_DATA[[#This Row],[TCL REFERENCE]],FIND(".",PV_DATA[[#This Row],[TCL REFERENCE]],1)-1),"Main Line")</f>
        <v>26Aug016</v>
      </c>
      <c r="D1052" s="440" t="s">
        <v>63</v>
      </c>
      <c r="E1052" s="440" t="s">
        <v>64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2" s="440" t="s">
        <v>402</v>
      </c>
      <c r="H1052" s="440" t="s">
        <v>311</v>
      </c>
      <c r="I1052" s="440" t="s">
        <v>689</v>
      </c>
      <c r="J1052" s="431" t="s">
        <v>96</v>
      </c>
      <c r="K1052" s="432"/>
      <c r="L1052" s="432"/>
      <c r="M1052" s="432" t="s">
        <v>68</v>
      </c>
      <c r="N1052" s="462">
        <v>46282</v>
      </c>
      <c r="O1052" s="432" t="s">
        <v>550</v>
      </c>
      <c r="P1052" s="431" t="s">
        <v>2134</v>
      </c>
      <c r="Q1052" s="432" t="s">
        <v>2135</v>
      </c>
      <c r="R1052" s="432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±1350mm</v>
      </c>
      <c r="T1052" s="443">
        <v>515</v>
      </c>
      <c r="U1052" s="1212">
        <f>792*4</f>
        <v>3168</v>
      </c>
      <c r="V1052" s="449">
        <f>PV_DATA[[#This Row],[QUANTITY]]*PV_DATA[[#This Row],[WATT]]/1000000</f>
        <v>1.6315200000000001</v>
      </c>
      <c r="W1052" s="467">
        <f>PV_DATA[[#This Row],[QUANTITY]]/PV_DATA[[#This Row],[Qty/Pallet]]</f>
        <v>88</v>
      </c>
      <c r="X1052" s="1114">
        <f>PV_DATA[[#This Row],[QUANTITY]]/PV_DATA[[#This Row],[Qty/CT]]</f>
        <v>4</v>
      </c>
      <c r="Y1052" s="432" t="s">
        <v>2469</v>
      </c>
      <c r="Z1052" s="432" t="str">
        <f t="shared" si="21"/>
        <v/>
      </c>
      <c r="AA1052" s="663" t="s">
        <v>6737</v>
      </c>
      <c r="AB1052" s="442"/>
      <c r="AC1052" s="468" t="str">
        <f>IF(PV_DATA[[#This Row],[Pick-Up Date]]&lt;&gt;"",_xlfn.ISOWEEKNUM(PV_DATA[[#This Row],[Pick-Up Date]]),"")</f>
        <v/>
      </c>
      <c r="AD1052" s="432"/>
      <c r="AE1052" s="432"/>
      <c r="AF1052" s="432" t="s">
        <v>122</v>
      </c>
      <c r="AG1052" s="432" t="s">
        <v>122</v>
      </c>
      <c r="AH1052" s="432" t="s">
        <v>314</v>
      </c>
      <c r="AI1052" s="442">
        <v>46292</v>
      </c>
      <c r="AJ1052" s="438">
        <f>IFERROR(VLOOKUP(AT1052, Vessel!A:D, 4, FALSE), "")</f>
        <v>46290.229166666664</v>
      </c>
      <c r="AK1052" s="438" t="str">
        <f>IFERROR(IF(VLOOKUP(AT1052,Vessel!A:F,5,FALSE)=0,"",VLOOKUP(AT1052,Vessel!A:F,5,FALSE)),"")</f>
        <v/>
      </c>
      <c r="AL1052" s="442">
        <v>46337</v>
      </c>
      <c r="AM1052" s="1387"/>
      <c r="AN1052" s="588" t="str">
        <f>IFERROR(IF(VLOOKUP(AT1052,Vessel!A:I,9,FALSE)=0,"",VLOOKUP(AT1052,Vessel!A:I,9,FALSE)),"")</f>
        <v/>
      </c>
      <c r="AO1052" s="432"/>
      <c r="AP1052" s="432" t="s">
        <v>6738</v>
      </c>
      <c r="AQ1052" s="446" t="s">
        <v>80</v>
      </c>
      <c r="AR1052" s="432" t="s">
        <v>6739</v>
      </c>
      <c r="AS1052" s="432" t="s">
        <v>6740</v>
      </c>
      <c r="AT1052" s="432" t="s">
        <v>6740</v>
      </c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46.770833333335759</v>
      </c>
      <c r="AV1052" s="432"/>
      <c r="AW1052" s="442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>
        <f>IF(ISERROR(PV_DATA[[#This Row],[New Ark PO status]]),"",_xlfn.XLOOKUP(PV_DATA[[#This Row],[SPTN-PVHK New Ark PO'#]],New_Ark_Data[Purchase order Number],New_Ark_Data[Estimated time of arrival],"",0))</f>
        <v>0</v>
      </c>
      <c r="AZ105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2" s="442">
        <f>IFERROR(PV_DATA[[#This Row],[ODP ETA Port]]+PV_DATA[[#This Row],[Customs/Leg3 Assumption]],"n/a")</f>
        <v>46347</v>
      </c>
      <c r="BB1052" s="443" t="s">
        <v>6531</v>
      </c>
      <c r="BC1052" s="443" t="s">
        <v>6531</v>
      </c>
      <c r="BD1052" s="432">
        <f>IFERROR(_xlfn.ISOWEEKNUM(PV_DATA[[#This Row],[ETA for New Ark update]]),0)</f>
        <v>47</v>
      </c>
      <c r="BE1052" s="432">
        <f>_xlfn.XLOOKUP(PV_DATA[[#This Row],[New Ark SKU]],Table9[New Ark SKU],Table9[Total PCS per Pallet],,0)</f>
        <v>36</v>
      </c>
      <c r="BF1052" s="432">
        <f>_xlfn.XLOOKUP(PV_DATA[[#This Row],[New Ark SKU]],Table9[New Ark SKU],Table9[Total PCS per 40HQ Container],,0)</f>
        <v>792</v>
      </c>
      <c r="BG1052" s="432" t="str">
        <f>_xlfn.XLOOKUP(PV_DATA[[#This Row],[New Ark SKU]],Table9[New Ark SKU],Table9[Back Glass],,0)</f>
        <v>Black glazing</v>
      </c>
      <c r="BH1052" s="624" t="str">
        <f>_xlfn.XLOOKUP(PV_DATA[[#This Row],[PORT DESTINATION]],Table12[PORT DESTINATION],Table12[Cosco Line],,0)</f>
        <v>AEM</v>
      </c>
      <c r="BJ1052" s="431"/>
    </row>
    <row r="1053" spans="1:62" ht="10.5" hidden="1">
      <c r="A1053" s="730" t="s">
        <v>6741</v>
      </c>
      <c r="B1053" s="440" t="s">
        <v>6707</v>
      </c>
      <c r="C1053" s="440" t="str">
        <f>IFERROR(LEFT(PV_DATA[[#This Row],[TCL REFERENCE]],FIND(".",PV_DATA[[#This Row],[TCL REFERENCE]],1)-1),"Main Line")</f>
        <v>26Aug005</v>
      </c>
      <c r="D1053" s="440" t="s">
        <v>63</v>
      </c>
      <c r="E1053" s="463" t="s">
        <v>64</v>
      </c>
      <c r="F1053" s="463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3" s="463" t="s">
        <v>402</v>
      </c>
      <c r="H1053" s="463" t="s">
        <v>67</v>
      </c>
      <c r="I1053" s="463" t="s">
        <v>689</v>
      </c>
      <c r="J1053" s="431" t="s">
        <v>96</v>
      </c>
      <c r="K1053" s="432"/>
      <c r="L1053" s="432"/>
      <c r="M1053" s="431" t="s">
        <v>6273</v>
      </c>
      <c r="N1053" s="462">
        <v>46258</v>
      </c>
      <c r="O1053" s="432" t="s">
        <v>4526</v>
      </c>
      <c r="P1053" s="431" t="s">
        <v>706</v>
      </c>
      <c r="Q1053" s="432" t="s">
        <v>707</v>
      </c>
      <c r="R1053" s="432" t="str">
        <f>_xlfn.XLOOKUP(PV_DATA[[#This Row],[New Ark SKU]],Table9[New Ark SKU],Table9[Connector],,0)</f>
        <v>EVO2A</v>
      </c>
      <c r="S1053" s="443" t="str">
        <f>_xlfn.XLOOKUP(PV_DATA[[#This Row],[New Ark SKU]],Table9[New Ark SKU],Table9[Cable],,0)</f>
        <v>±1200mm</v>
      </c>
      <c r="T1053" s="443">
        <v>500</v>
      </c>
      <c r="U1053" s="1212">
        <v>3456</v>
      </c>
      <c r="V1053" s="449">
        <f>PV_DATA[[#This Row],[QUANTITY]]*PV_DATA[[#This Row],[WATT]]/1000000</f>
        <v>1.728</v>
      </c>
      <c r="W1053" s="467">
        <f>PV_DATA[[#This Row],[QUANTITY]]/PV_DATA[[#This Row],[Qty/Pallet]]</f>
        <v>96</v>
      </c>
      <c r="X1053" s="1114">
        <f>PV_DATA[[#This Row],[QUANTITY]]/PV_DATA[[#This Row],[Qty/CT]]</f>
        <v>4</v>
      </c>
      <c r="Y1053" s="432" t="s">
        <v>2468</v>
      </c>
      <c r="Z1053" s="432" t="str">
        <f t="shared" si="21"/>
        <v/>
      </c>
      <c r="AA1053" s="663">
        <v>46280</v>
      </c>
      <c r="AB1053" s="442">
        <v>46279</v>
      </c>
      <c r="AC1053" s="468">
        <f>IF(PV_DATA[[#This Row],[Pick-Up Date]]&lt;&gt;"",_xlfn.ISOWEEKNUM(PV_DATA[[#This Row],[Pick-Up Date]]),"")</f>
        <v>38</v>
      </c>
      <c r="AD1053" s="432"/>
      <c r="AE1053" s="432"/>
      <c r="AF1053" s="432" t="s">
        <v>122</v>
      </c>
      <c r="AG1053" s="432" t="s">
        <v>123</v>
      </c>
      <c r="AH1053" s="431" t="s">
        <v>78</v>
      </c>
      <c r="AI1053" s="442">
        <v>46288</v>
      </c>
      <c r="AJ1053" s="438">
        <f>IFERROR(VLOOKUP(AT1053, Vessel!A:D, 4, FALSE), "")</f>
        <v>46288.020833333336</v>
      </c>
      <c r="AK1053" s="438" t="str">
        <f>IFERROR(IF(VLOOKUP(AT1053,Vessel!A:F,5,FALSE)=0,"",VLOOKUP(AT1053,Vessel!A:F,5,FALSE)),"")</f>
        <v/>
      </c>
      <c r="AL1053" s="442">
        <v>46330</v>
      </c>
      <c r="AM1053" s="620">
        <f>IFERROR(VLOOKUP(AT1053, Vessel!A:H, 8, FALSE), "")</f>
        <v>46330.25</v>
      </c>
      <c r="AN1053" s="588" t="str">
        <f>IFERROR(IF(VLOOKUP(AT1053,Vessel!A:I,9,FALSE)=0,"",VLOOKUP(AT1053,Vessel!A:I,9,FALSE)),"")</f>
        <v/>
      </c>
      <c r="AO1053" s="432"/>
      <c r="AP1053" s="432" t="s">
        <v>6742</v>
      </c>
      <c r="AQ1053" s="439" t="s">
        <v>80</v>
      </c>
      <c r="AR1053" s="432" t="s">
        <v>6743</v>
      </c>
      <c r="AS1053" s="432" t="s">
        <v>6744</v>
      </c>
      <c r="AT1053" s="431" t="s">
        <v>6744</v>
      </c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42.229166666664241</v>
      </c>
      <c r="AV1053" s="432"/>
      <c r="AW1053" s="442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>
        <f>IF(ISERROR(PV_DATA[[#This Row],[New Ark PO status]]),"",_xlfn.XLOOKUP(PV_DATA[[#This Row],[SPTN-PVHK New Ark PO'#]],New_Ark_Data[Purchase order Number],New_Ark_Data[Estimated time of arrival],"",0))</f>
        <v>0</v>
      </c>
      <c r="AZ10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3" s="442">
        <f>IFERROR(PV_DATA[[#This Row],[ODP ETA Port]]+PV_DATA[[#This Row],[Customs/Leg3 Assumption]],"n/a")</f>
        <v>46338.25</v>
      </c>
      <c r="BB1053" s="443">
        <f>YEAR(PV_DATA[[#This Row],[ETA for New Ark update]])</f>
        <v>2026</v>
      </c>
      <c r="BC1053" s="432">
        <f>MONTH(PV_DATA[[#This Row],[ETA for New Ark update]])</f>
        <v>11</v>
      </c>
      <c r="BD1053" s="432">
        <f>IFERROR(_xlfn.ISOWEEKNUM(PV_DATA[[#This Row],[ETA for New Ark update]]),0)</f>
        <v>46</v>
      </c>
      <c r="BE1053" s="432">
        <f>_xlfn.XLOOKUP(PV_DATA[[#This Row],[New Ark SKU]],Table9[New Ark SKU],Table9[Total PCS per Pallet],,0)</f>
        <v>36</v>
      </c>
      <c r="BF1053" s="432">
        <f>_xlfn.XLOOKUP(PV_DATA[[#This Row],[New Ark SKU]],Table9[New Ark SKU],Table9[Total PCS per 40HQ Container],,0)</f>
        <v>864</v>
      </c>
      <c r="BG1053" s="432" t="str">
        <f>_xlfn.XLOOKUP(PV_DATA[[#This Row],[New Ark SKU]],Table9[New Ark SKU],Table9[Back Glass],,0)</f>
        <v>Black glazing</v>
      </c>
      <c r="BH1053" s="624" t="str">
        <f>_xlfn.XLOOKUP(PV_DATA[[#This Row],[PORT DESTINATION]],Table12[PORT DESTINATION],Table12[Cosco Line],,0)</f>
        <v>AEM</v>
      </c>
      <c r="BJ1053" s="431"/>
    </row>
    <row r="1054" spans="1:62" ht="13.5" hidden="1" customHeight="1">
      <c r="A1054" s="730" t="s">
        <v>6745</v>
      </c>
      <c r="B1054" s="440" t="s">
        <v>111</v>
      </c>
      <c r="C1054" s="440" t="str">
        <f>IFERROR(LEFT(PV_DATA[[#This Row],[TCL REFERENCE]],FIND(".",PV_DATA[[#This Row],[TCL REFERENCE]],1)-1),"Main Line")</f>
        <v>26Aug015</v>
      </c>
      <c r="D1054" s="440" t="s">
        <v>63</v>
      </c>
      <c r="E1054" s="440" t="s">
        <v>64</v>
      </c>
      <c r="F1054" s="440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4" s="440" t="s">
        <v>402</v>
      </c>
      <c r="H1054" s="440" t="s">
        <v>67</v>
      </c>
      <c r="I1054" s="440" t="s">
        <v>689</v>
      </c>
      <c r="J1054" s="431" t="s">
        <v>96</v>
      </c>
      <c r="K1054" s="432"/>
      <c r="L1054" s="432"/>
      <c r="M1054" s="432" t="s">
        <v>68</v>
      </c>
      <c r="N1054" s="462">
        <v>46285</v>
      </c>
      <c r="O1054" s="432" t="s">
        <v>550</v>
      </c>
      <c r="P1054" s="431" t="s">
        <v>551</v>
      </c>
      <c r="Q1054" s="432" t="s">
        <v>2151</v>
      </c>
      <c r="R1054" s="432" t="str">
        <f>_xlfn.XLOOKUP(PV_DATA[[#This Row],[New Ark SKU]],Table9[New Ark SKU],Table9[Connector],,0)</f>
        <v>EVO2A</v>
      </c>
      <c r="S1054" s="443" t="str">
        <f>_xlfn.XLOOKUP(PV_DATA[[#This Row],[New Ark SKU]],Table9[New Ark SKU],Table9[Cable],,0)</f>
        <v>±1350mm</v>
      </c>
      <c r="T1054" s="443">
        <v>510</v>
      </c>
      <c r="U1054" s="1212">
        <v>3168</v>
      </c>
      <c r="V1054" s="449">
        <f>PV_DATA[[#This Row],[QUANTITY]]*PV_DATA[[#This Row],[WATT]]/1000000</f>
        <v>1.61568</v>
      </c>
      <c r="W1054" s="467">
        <f>PV_DATA[[#This Row],[QUANTITY]]/PV_DATA[[#This Row],[Qty/Pallet]]</f>
        <v>88</v>
      </c>
      <c r="X1054" s="1114">
        <f>PV_DATA[[#This Row],[QUANTITY]]/PV_DATA[[#This Row],[Qty/CT]]</f>
        <v>4</v>
      </c>
      <c r="Y1054" s="432" t="s">
        <v>2470</v>
      </c>
      <c r="Z1054" s="432" t="str">
        <f t="shared" si="21"/>
        <v/>
      </c>
      <c r="AA1054" s="432"/>
      <c r="AB1054" s="442"/>
      <c r="AC1054" s="468" t="str">
        <f>IF(PV_DATA[[#This Row],[Pick-Up Date]]&lt;&gt;"",_xlfn.ISOWEEKNUM(PV_DATA[[#This Row],[Pick-Up Date]]),"")</f>
        <v/>
      </c>
      <c r="AD1054" s="432"/>
      <c r="AE1054" s="432"/>
      <c r="AF1054" s="432" t="s">
        <v>122</v>
      </c>
      <c r="AG1054" s="432" t="s">
        <v>122</v>
      </c>
      <c r="AH1054" s="432" t="s">
        <v>78</v>
      </c>
      <c r="AI1054" s="442">
        <v>46292</v>
      </c>
      <c r="AJ1054" s="438">
        <f>IFERROR(VLOOKUP(AT1054, Vessel!A:D, 4, FALSE), "")</f>
        <v>46290.229166666664</v>
      </c>
      <c r="AK1054" s="438" t="str">
        <f>IFERROR(IF(VLOOKUP(AT1054,Vessel!A:F,5,FALSE)=0,"",VLOOKUP(AT1054,Vessel!A:F,5,FALSE)),"")</f>
        <v/>
      </c>
      <c r="AL1054" s="442">
        <v>46342</v>
      </c>
      <c r="AM1054" s="1387"/>
      <c r="AN1054" s="588" t="str">
        <f>IFERROR(IF(VLOOKUP(AT1054,Vessel!A:I,9,FALSE)=0,"",VLOOKUP(AT1054,Vessel!A:I,9,FALSE)),"")</f>
        <v/>
      </c>
      <c r="AO1054" s="432"/>
      <c r="AP1054" s="432" t="s">
        <v>6738</v>
      </c>
      <c r="AQ1054" s="446" t="s">
        <v>80</v>
      </c>
      <c r="AR1054" s="432" t="s">
        <v>6746</v>
      </c>
      <c r="AS1054" s="432" t="s">
        <v>6747</v>
      </c>
      <c r="AT1054" s="432" t="s">
        <v>6747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51.770833333335759</v>
      </c>
      <c r="AV1054" s="432"/>
      <c r="AW1054" s="442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2">
        <f>IF(ISERROR(PV_DATA[[#This Row],[New Ark PO status]]),"",_xlfn.XLOOKUP(PV_DATA[[#This Row],[SPTN-PVHK New Ark PO'#]],New_Ark_Data[Purchase order Number],New_Ark_Data[Estimated time of arrival],"",0))</f>
        <v>0</v>
      </c>
      <c r="AZ10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4" s="442">
        <f>IFERROR(PV_DATA[[#This Row],[ODP ETA Port]]+PV_DATA[[#This Row],[Customs/Leg3 Assumption]],"n/a")</f>
        <v>46350</v>
      </c>
      <c r="BB1054" s="443" t="s">
        <v>6531</v>
      </c>
      <c r="BC1054" s="443" t="s">
        <v>6531</v>
      </c>
      <c r="BD1054" s="432">
        <f>IFERROR(_xlfn.ISOWEEKNUM(PV_DATA[[#This Row],[ETA for New Ark update]]),0)</f>
        <v>48</v>
      </c>
      <c r="BE1054" s="432">
        <f>_xlfn.XLOOKUP(PV_DATA[[#This Row],[New Ark SKU]],Table9[New Ark SKU],Table9[Total PCS per Pallet],,0)</f>
        <v>36</v>
      </c>
      <c r="BF1054" s="432">
        <f>_xlfn.XLOOKUP(PV_DATA[[#This Row],[New Ark SKU]],Table9[New Ark SKU],Table9[Total PCS per 40HQ Container],,0)</f>
        <v>792</v>
      </c>
      <c r="BG1054" s="432" t="str">
        <f>_xlfn.XLOOKUP(PV_DATA[[#This Row],[New Ark SKU]],Table9[New Ark SKU],Table9[Back Glass],,0)</f>
        <v>Black glazing</v>
      </c>
      <c r="BH1054" s="624" t="str">
        <f>_xlfn.XLOOKUP(PV_DATA[[#This Row],[PORT DESTINATION]],Table12[PORT DESTINATION],Table12[Cosco Line],,0)</f>
        <v>AEM</v>
      </c>
      <c r="BJ1054" s="431"/>
    </row>
    <row r="1055" spans="1:62" ht="10.5" hidden="1">
      <c r="A1055" s="729" t="s">
        <v>6748</v>
      </c>
      <c r="B1055" s="728" t="s">
        <v>111</v>
      </c>
      <c r="C1055" s="440" t="str">
        <f>IFERROR(LEFT(PV_DATA[[#This Row],[TCL REFERENCE]],FIND(".",PV_DATA[[#This Row],[TCL REFERENCE]],1)-1),"Main Line")</f>
        <v>26Aug010</v>
      </c>
      <c r="D1055" s="728" t="s">
        <v>113</v>
      </c>
      <c r="E1055" s="440" t="s">
        <v>64</v>
      </c>
      <c r="F1055" s="728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5" s="440" t="s">
        <v>402</v>
      </c>
      <c r="H1055" s="440" t="s">
        <v>115</v>
      </c>
      <c r="I1055" s="440" t="s">
        <v>6749</v>
      </c>
      <c r="J1055" s="432" t="s">
        <v>96</v>
      </c>
      <c r="K1055" s="621"/>
      <c r="L1055" s="621"/>
      <c r="M1055" s="432" t="s">
        <v>68</v>
      </c>
      <c r="N1055" s="632"/>
      <c r="O1055" s="621" t="s">
        <v>4526</v>
      </c>
      <c r="P1055" s="625" t="s">
        <v>6207</v>
      </c>
      <c r="Q1055" s="621" t="s">
        <v>330</v>
      </c>
      <c r="R1055" s="621" t="str">
        <f>_xlfn.XLOOKUP(PV_DATA[[#This Row],[New Ark SKU]],Table9[New Ark SKU],Table9[Connector],,0)</f>
        <v>H4(Com)</v>
      </c>
      <c r="S1055" s="622" t="str">
        <f>_xlfn.XLOOKUP(PV_DATA[[#This Row],[New Ark SKU]],Table9[New Ark SKU],Table9[Cable],,0)</f>
        <v>+400mm/-200mm</v>
      </c>
      <c r="T1055" s="622">
        <v>625</v>
      </c>
      <c r="U1055" s="1212">
        <f>720*1</f>
        <v>720</v>
      </c>
      <c r="V1055" s="626">
        <f>PV_DATA[[#This Row],[QUANTITY]]*PV_DATA[[#This Row],[WATT]]/1000000</f>
        <v>0.45</v>
      </c>
      <c r="W1055" s="467">
        <f>PV_DATA[[#This Row],[QUANTITY]]/36</f>
        <v>20</v>
      </c>
      <c r="X1055" s="1118">
        <f>PV_DATA[[#This Row],[QUANTITY]]/PV_DATA[[#This Row],[Qty/CT]]</f>
        <v>1</v>
      </c>
      <c r="Y1055" s="432" t="s">
        <v>6750</v>
      </c>
      <c r="Z1055" s="432" t="str">
        <f t="shared" si="21"/>
        <v/>
      </c>
      <c r="AA1055" s="621" t="s">
        <v>6751</v>
      </c>
      <c r="AB1055" s="628"/>
      <c r="AC1055" s="629" t="str">
        <f>IF(PV_DATA[[#This Row],[Pick-Up Date]]&lt;&gt;"",_xlfn.ISOWEEKNUM(PV_DATA[[#This Row],[Pick-Up Date]]),"")</f>
        <v/>
      </c>
      <c r="AD1055" s="621"/>
      <c r="AE1055" s="621"/>
      <c r="AF1055" s="621" t="s">
        <v>122</v>
      </c>
      <c r="AG1055" s="621" t="s">
        <v>122</v>
      </c>
      <c r="AH1055" s="431" t="s">
        <v>124</v>
      </c>
      <c r="AI1055" s="628">
        <v>46292</v>
      </c>
      <c r="AJ1055" s="438">
        <f>IFERROR(VLOOKUP(AT1055, Vessel!A:D, 4, FALSE), "")</f>
        <v>46290.229166666664</v>
      </c>
      <c r="AK1055" s="438" t="str">
        <f>IFERROR(IF(VLOOKUP(AT1055,Vessel!A:F,5,FALSE)=0,"",VLOOKUP(AT1055,Vessel!A:F,5,FALSE)),"")</f>
        <v/>
      </c>
      <c r="AL1055" s="628">
        <v>46345</v>
      </c>
      <c r="AM1055" s="628"/>
      <c r="AN1055" s="588" t="str">
        <f>IFERROR(IF(VLOOKUP(AT1055,Vessel!A:I,9,FALSE)=0,"",VLOOKUP(AT1055,Vessel!A:I,9,FALSE)),"")</f>
        <v/>
      </c>
      <c r="AO1055" s="621"/>
      <c r="AP1055" s="621" t="s">
        <v>6738</v>
      </c>
      <c r="AQ1055" s="630" t="s">
        <v>80</v>
      </c>
      <c r="AR1055" s="621" t="s">
        <v>6752</v>
      </c>
      <c r="AS1055" s="621" t="s">
        <v>6753</v>
      </c>
      <c r="AT1055" s="432" t="s">
        <v>6753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V1055" s="621"/>
      <c r="AW1055" s="628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628">
        <f>IF(ISERROR(PV_DATA[[#This Row],[New Ark PO status]]),"",_xlfn.XLOOKUP(PV_DATA[[#This Row],[SPTN-PVHK New Ark PO'#]],New_Ark_Data[Purchase order Number],New_Ark_Data[Estimated time of arrival],"",0))</f>
        <v>0</v>
      </c>
      <c r="AZ1055" s="62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5" s="628">
        <f>IFERROR(PV_DATA[[#This Row],[ODP ETA Port]]+PV_DATA[[#This Row],[Customs/Leg3 Assumption]],"n/a")</f>
        <v>46354</v>
      </c>
      <c r="BB1055" s="443" t="s">
        <v>6531</v>
      </c>
      <c r="BC1055" s="443" t="s">
        <v>6531</v>
      </c>
      <c r="BD1055" s="621">
        <f>IFERROR(_xlfn.ISOWEEKNUM(PV_DATA[[#This Row],[ETA for New Ark update]]),0)</f>
        <v>48</v>
      </c>
      <c r="BE1055" s="621">
        <f>_xlfn.XLOOKUP(PV_DATA[[#This Row],[New Ark SKU]],Table9[New Ark SKU],Table9[Total PCS per Pallet],,0)</f>
        <v>36</v>
      </c>
      <c r="BF1055" s="621">
        <f>_xlfn.XLOOKUP(PV_DATA[[#This Row],[New Ark SKU]],Table9[New Ark SKU],Table9[Total PCS per 40HQ Container],,0)</f>
        <v>720</v>
      </c>
      <c r="BG1055" s="621" t="str">
        <f>_xlfn.XLOOKUP(PV_DATA[[#This Row],[New Ark SKU]],Table9[New Ark SKU],Table9[Back Glass],,0)</f>
        <v>Redirection Film</v>
      </c>
      <c r="BH1055" s="631" t="str">
        <f>_xlfn.XLOOKUP(PV_DATA[[#This Row],[PORT DESTINATION]],Table12[PORT DESTINATION],Table12[Cosco Line],,0)</f>
        <v>AEM</v>
      </c>
      <c r="BJ1055" s="431"/>
    </row>
    <row r="1056" spans="1:62" ht="13.5" hidden="1" customHeight="1">
      <c r="A1056" s="730" t="s">
        <v>6754</v>
      </c>
      <c r="B1056" s="440" t="s">
        <v>111</v>
      </c>
      <c r="C1056" s="440" t="str">
        <f>IFERROR(LEFT(PV_DATA[[#This Row],[TCL REFERENCE]],FIND(".",PV_DATA[[#This Row],[TCL REFERENCE]],1)-1),"Main Line")</f>
        <v>26Aug016</v>
      </c>
      <c r="D1056" s="440" t="s">
        <v>63</v>
      </c>
      <c r="E1056" s="440" t="s">
        <v>64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6" s="440" t="s">
        <v>402</v>
      </c>
      <c r="H1056" s="440" t="s">
        <v>115</v>
      </c>
      <c r="I1056" s="440" t="s">
        <v>689</v>
      </c>
      <c r="J1056" s="431" t="s">
        <v>96</v>
      </c>
      <c r="K1056" s="432"/>
      <c r="L1056" s="432"/>
      <c r="M1056" s="432" t="s">
        <v>68</v>
      </c>
      <c r="N1056" s="462">
        <v>46282</v>
      </c>
      <c r="O1056" s="432" t="s">
        <v>550</v>
      </c>
      <c r="P1056" s="431" t="s">
        <v>2134</v>
      </c>
      <c r="Q1056" s="432" t="s">
        <v>2135</v>
      </c>
      <c r="R1056" s="432" t="str">
        <f>_xlfn.XLOOKUP(PV_DATA[[#This Row],[New Ark SKU]],Table9[New Ark SKU],Table9[Connector],,0)</f>
        <v>EVO2A</v>
      </c>
      <c r="S1056" s="443" t="str">
        <f>_xlfn.XLOOKUP(PV_DATA[[#This Row],[New Ark SKU]],Table9[New Ark SKU],Table9[Cable],,0)</f>
        <v>±1350mm</v>
      </c>
      <c r="T1056" s="443">
        <v>515</v>
      </c>
      <c r="U1056" s="1212">
        <v>792</v>
      </c>
      <c r="V1056" s="449">
        <f>PV_DATA[[#This Row],[QUANTITY]]*PV_DATA[[#This Row],[WATT]]/1000000</f>
        <v>0.40788000000000002</v>
      </c>
      <c r="W1056" s="467">
        <f>PV_DATA[[#This Row],[QUANTITY]]/PV_DATA[[#This Row],[Qty/Pallet]]</f>
        <v>22</v>
      </c>
      <c r="X1056" s="1114">
        <f>PV_DATA[[#This Row],[QUANTITY]]/PV_DATA[[#This Row],[Qty/CT]]</f>
        <v>1</v>
      </c>
      <c r="Y1056" s="432" t="s">
        <v>6755</v>
      </c>
      <c r="Z1056" s="431" t="str">
        <f t="shared" si="21"/>
        <v/>
      </c>
      <c r="AA1056" s="432"/>
      <c r="AB1056" s="442"/>
      <c r="AC1056" s="468" t="str">
        <f>IF(PV_DATA[[#This Row],[Pick-Up Date]]&lt;&gt;"",_xlfn.ISOWEEKNUM(PV_DATA[[#This Row],[Pick-Up Date]]),"")</f>
        <v/>
      </c>
      <c r="AD1056" s="432"/>
      <c r="AE1056" s="432"/>
      <c r="AF1056" s="432" t="s">
        <v>122</v>
      </c>
      <c r="AG1056" s="432" t="s">
        <v>122</v>
      </c>
      <c r="AH1056" s="432" t="s">
        <v>124</v>
      </c>
      <c r="AI1056" s="442">
        <v>46292</v>
      </c>
      <c r="AJ1056" s="438">
        <f>IFERROR(VLOOKUP(AT1056, Vessel!A:D, 4, FALSE), "")</f>
        <v>46290.229166666664</v>
      </c>
      <c r="AK1056" s="438" t="str">
        <f>IFERROR(IF(VLOOKUP(AT1056,Vessel!A:F,5,FALSE)=0,"",VLOOKUP(AT1056,Vessel!A:F,5,FALSE)),"")</f>
        <v/>
      </c>
      <c r="AL1056" s="442">
        <v>46345</v>
      </c>
      <c r="AM1056" s="1387"/>
      <c r="AN1056" s="588" t="str">
        <f>IFERROR(IF(VLOOKUP(AT1056,Vessel!A:I,9,FALSE)=0,"",VLOOKUP(AT1056,Vessel!A:I,9,FALSE)),"")</f>
        <v/>
      </c>
      <c r="AO1056" s="432"/>
      <c r="AP1056" s="432" t="s">
        <v>6738</v>
      </c>
      <c r="AQ1056" s="446" t="s">
        <v>80</v>
      </c>
      <c r="AR1056" s="432" t="s">
        <v>6752</v>
      </c>
      <c r="AS1056" s="432" t="s">
        <v>6753</v>
      </c>
      <c r="AT1056" s="432" t="s">
        <v>6753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V1056" s="432"/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6" s="442">
        <f>IFERROR(PV_DATA[[#This Row],[ODP ETA Port]]+PV_DATA[[#This Row],[Customs/Leg3 Assumption]],"n/a")</f>
        <v>46354</v>
      </c>
      <c r="BB1056" s="443" t="s">
        <v>6531</v>
      </c>
      <c r="BC1056" s="443" t="s">
        <v>6531</v>
      </c>
      <c r="BD1056" s="432">
        <f>IFERROR(_xlfn.ISOWEEKNUM(PV_DATA[[#This Row],[ETA for New Ark update]]),0)</f>
        <v>48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792</v>
      </c>
      <c r="BG1056" s="432" t="str">
        <f>_xlfn.XLOOKUP(PV_DATA[[#This Row],[New Ark SKU]],Table9[New Ark SKU],Table9[Back Glass],,0)</f>
        <v>Black glazing</v>
      </c>
      <c r="BH1056" s="624" t="str">
        <f>_xlfn.XLOOKUP(PV_DATA[[#This Row],[PORT DESTINATION]],Table12[PORT DESTINATION],Table12[Cosco Line],,0)</f>
        <v>AEM</v>
      </c>
      <c r="BJ1056" s="431"/>
    </row>
    <row r="1057" spans="1:91" ht="10.5" hidden="1">
      <c r="A1057" s="729" t="s">
        <v>6756</v>
      </c>
      <c r="B1057" s="728" t="s">
        <v>111</v>
      </c>
      <c r="C1057" s="440" t="str">
        <f>IFERROR(LEFT(PV_DATA[[#This Row],[TCL REFERENCE]],FIND(".",PV_DATA[[#This Row],[TCL REFERENCE]],1)-1),"Main Line")</f>
        <v>26Aug010</v>
      </c>
      <c r="D1057" s="728" t="s">
        <v>113</v>
      </c>
      <c r="E1057" s="440" t="s">
        <v>144</v>
      </c>
      <c r="F1057" s="728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7" s="440" t="s">
        <v>402</v>
      </c>
      <c r="H1057" s="440" t="s">
        <v>6716</v>
      </c>
      <c r="I1057" s="440" t="s">
        <v>6717</v>
      </c>
      <c r="J1057" s="440" t="s">
        <v>6716</v>
      </c>
      <c r="K1057" s="621" t="s">
        <v>6718</v>
      </c>
      <c r="L1057" s="621">
        <v>3</v>
      </c>
      <c r="M1057" s="952" t="s">
        <v>6719</v>
      </c>
      <c r="N1057" s="632"/>
      <c r="O1057" s="621" t="s">
        <v>4526</v>
      </c>
      <c r="P1057" s="625" t="s">
        <v>6207</v>
      </c>
      <c r="Q1057" s="621" t="s">
        <v>330</v>
      </c>
      <c r="R1057" s="621" t="str">
        <f>_xlfn.XLOOKUP(PV_DATA[[#This Row],[New Ark SKU]],Table9[New Ark SKU],Table9[Connector],,0)</f>
        <v>H4(Com)</v>
      </c>
      <c r="S1057" s="622" t="str">
        <f>_xlfn.XLOOKUP(PV_DATA[[#This Row],[New Ark SKU]],Table9[New Ark SKU],Table9[Cable],,0)</f>
        <v>+400mm/-200mm</v>
      </c>
      <c r="T1057" s="622">
        <v>625</v>
      </c>
      <c r="U1057" s="1212">
        <v>7920</v>
      </c>
      <c r="V1057" s="626">
        <f>PV_DATA[[#This Row],[QUANTITY]]*PV_DATA[[#This Row],[WATT]]/1000000</f>
        <v>4.95</v>
      </c>
      <c r="W1057" s="467">
        <f>PV_DATA[[#This Row],[QUANTITY]]/36</f>
        <v>220</v>
      </c>
      <c r="X1057" s="1118">
        <f>PV_DATA[[#This Row],[QUANTITY]]/PV_DATA[[#This Row],[Qty/CT]]</f>
        <v>11</v>
      </c>
      <c r="Y1057" s="432" t="s">
        <v>6757</v>
      </c>
      <c r="Z1057" s="431" t="str">
        <f t="shared" si="21"/>
        <v/>
      </c>
      <c r="AA1057" s="621"/>
      <c r="AB1057" s="628"/>
      <c r="AC1057" s="629" t="str">
        <f>IF(PV_DATA[[#This Row],[Pick-Up Date]]&lt;&gt;"",_xlfn.ISOWEEKNUM(PV_DATA[[#This Row],[Pick-Up Date]]),"")</f>
        <v/>
      </c>
      <c r="AD1057" s="621"/>
      <c r="AE1057" s="621"/>
      <c r="AF1057" s="621" t="s">
        <v>122</v>
      </c>
      <c r="AG1057" s="621" t="s">
        <v>122</v>
      </c>
      <c r="AH1057" s="431" t="s">
        <v>6492</v>
      </c>
      <c r="AI1057" s="628">
        <v>46289</v>
      </c>
      <c r="AJ1057" s="438">
        <v>46296</v>
      </c>
      <c r="AK1057" s="438" t="str">
        <f>IFERROR(IF(VLOOKUP(AT1057,Vessel!A:F,5,FALSE)=0,"",VLOOKUP(AT1057,Vessel!A:F,5,FALSE)),"")</f>
        <v/>
      </c>
      <c r="AL1057" s="628">
        <v>46330</v>
      </c>
      <c r="AM1057" s="628"/>
      <c r="AN1057" s="588" t="str">
        <f>IFERROR(IF(VLOOKUP(AT1057,Vessel!A:I,9,FALSE)=0,"",VLOOKUP(AT1057,Vessel!A:I,9,FALSE)),"")</f>
        <v/>
      </c>
      <c r="AO1057" s="621"/>
      <c r="AP1057" s="621" t="s">
        <v>6758</v>
      </c>
      <c r="AQ1057" s="630" t="s">
        <v>161</v>
      </c>
      <c r="AR1057" s="621" t="s">
        <v>6759</v>
      </c>
      <c r="AS1057" s="621">
        <v>276628939</v>
      </c>
      <c r="AT1057" s="432">
        <v>276628939</v>
      </c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7" s="621"/>
      <c r="AW1057" s="628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628">
        <f>IF(ISERROR(PV_DATA[[#This Row],[New Ark PO status]]),"",_xlfn.XLOOKUP(PV_DATA[[#This Row],[SPTN-PVHK New Ark PO'#]],New_Ark_Data[Purchase order Number],New_Ark_Data[Estimated time of arrival],"",0))</f>
        <v>0</v>
      </c>
      <c r="AZ105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7" s="628">
        <f>IFERROR(PV_DATA[[#This Row],[ODP ETA Port]]+PV_DATA[[#This Row],[Customs/Leg3 Assumption]],"n/a")</f>
        <v>46330</v>
      </c>
      <c r="BB1057" s="443" t="s">
        <v>6273</v>
      </c>
      <c r="BC1057" s="443" t="s">
        <v>6273</v>
      </c>
      <c r="BD1057" s="621">
        <f>IFERROR(_xlfn.ISOWEEKNUM(PV_DATA[[#This Row],[ETA for New Ark update]]),0)</f>
        <v>45</v>
      </c>
      <c r="BE1057" s="621">
        <f>_xlfn.XLOOKUP(PV_DATA[[#This Row],[New Ark SKU]],Table9[New Ark SKU],Table9[Total PCS per Pallet],,0)</f>
        <v>36</v>
      </c>
      <c r="BF1057" s="621">
        <f>_xlfn.XLOOKUP(PV_DATA[[#This Row],[New Ark SKU]],Table9[New Ark SKU],Table9[Total PCS per 40HQ Container],,0)</f>
        <v>720</v>
      </c>
      <c r="BG1057" s="621" t="str">
        <f>_xlfn.XLOOKUP(PV_DATA[[#This Row],[New Ark SKU]],Table9[New Ark SKU],Table9[Back Glass],,0)</f>
        <v>Redirection Film</v>
      </c>
      <c r="BH1057" s="631" t="str">
        <f>_xlfn.XLOOKUP(PV_DATA[[#This Row],[PORT DESTINATION]],Table12[PORT DESTINATION],Table12[Cosco Line],,0)</f>
        <v>n/a</v>
      </c>
      <c r="BJ1057" s="431"/>
    </row>
    <row r="1058" spans="1:91" ht="10.5" hidden="1">
      <c r="A1058" s="729" t="s">
        <v>6760</v>
      </c>
      <c r="B1058" s="728" t="s">
        <v>111</v>
      </c>
      <c r="C1058" s="440" t="str">
        <f>IFERROR(LEFT(PV_DATA[[#This Row],[TCL REFERENCE]],FIND(".",PV_DATA[[#This Row],[TCL REFERENCE]],1)-1),"Main Line")</f>
        <v>26Aug010</v>
      </c>
      <c r="D1058" s="728" t="s">
        <v>113</v>
      </c>
      <c r="E1058" s="440" t="s">
        <v>144</v>
      </c>
      <c r="F1058" s="728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40" t="s">
        <v>402</v>
      </c>
      <c r="H1058" s="440" t="s">
        <v>6716</v>
      </c>
      <c r="I1058" s="440" t="s">
        <v>6749</v>
      </c>
      <c r="J1058" s="440" t="s">
        <v>6716</v>
      </c>
      <c r="K1058" s="621" t="s">
        <v>6718</v>
      </c>
      <c r="L1058" s="621">
        <v>4</v>
      </c>
      <c r="M1058" s="952" t="s">
        <v>6719</v>
      </c>
      <c r="N1058" s="632"/>
      <c r="O1058" s="621" t="s">
        <v>4526</v>
      </c>
      <c r="P1058" s="625" t="s">
        <v>6207</v>
      </c>
      <c r="Q1058" s="621" t="s">
        <v>330</v>
      </c>
      <c r="R1058" s="621" t="str">
        <f>_xlfn.XLOOKUP(PV_DATA[[#This Row],[New Ark SKU]],Table9[New Ark SKU],Table9[Connector],,0)</f>
        <v>H4(Com)</v>
      </c>
      <c r="S1058" s="622" t="str">
        <f>_xlfn.XLOOKUP(PV_DATA[[#This Row],[New Ark SKU]],Table9[New Ark SKU],Table9[Cable],,0)</f>
        <v>+400mm/-200mm</v>
      </c>
      <c r="T1058" s="622">
        <v>625</v>
      </c>
      <c r="U1058" s="1212">
        <v>7920</v>
      </c>
      <c r="V1058" s="626">
        <f>PV_DATA[[#This Row],[QUANTITY]]*PV_DATA[[#This Row],[WATT]]/1000000</f>
        <v>4.95</v>
      </c>
      <c r="W1058" s="467">
        <f>PV_DATA[[#This Row],[QUANTITY]]/36</f>
        <v>220</v>
      </c>
      <c r="X1058" s="1118">
        <f>PV_DATA[[#This Row],[QUANTITY]]/PV_DATA[[#This Row],[Qty/CT]]</f>
        <v>11</v>
      </c>
      <c r="Y1058" s="432" t="s">
        <v>6750</v>
      </c>
      <c r="Z1058" s="431" t="str">
        <f t="shared" si="21"/>
        <v/>
      </c>
      <c r="AA1058" s="621"/>
      <c r="AB1058" s="628"/>
      <c r="AC1058" s="629" t="str">
        <f>IF(PV_DATA[[#This Row],[Pick-Up Date]]&lt;&gt;"",_xlfn.ISOWEEKNUM(PV_DATA[[#This Row],[Pick-Up Date]]),"")</f>
        <v/>
      </c>
      <c r="AD1058" s="621"/>
      <c r="AE1058" s="621"/>
      <c r="AF1058" s="621" t="s">
        <v>122</v>
      </c>
      <c r="AG1058" s="621" t="s">
        <v>122</v>
      </c>
      <c r="AH1058" s="431" t="s">
        <v>6492</v>
      </c>
      <c r="AI1058" s="628">
        <v>46289</v>
      </c>
      <c r="AJ1058" s="438">
        <v>46296</v>
      </c>
      <c r="AK1058" s="438" t="str">
        <f>IFERROR(IF(VLOOKUP(AT1058,Vessel!A:F,5,FALSE)=0,"",VLOOKUP(AT1058,Vessel!A:F,5,FALSE)),"")</f>
        <v/>
      </c>
      <c r="AL1058" s="628">
        <v>46330</v>
      </c>
      <c r="AM1058" s="628"/>
      <c r="AN1058" s="588" t="str">
        <f>IFERROR(IF(VLOOKUP(AT1058,Vessel!A:I,9,FALSE)=0,"",VLOOKUP(AT1058,Vessel!A:I,9,FALSE)),"")</f>
        <v/>
      </c>
      <c r="AO1058" s="621"/>
      <c r="AP1058" s="621" t="s">
        <v>6758</v>
      </c>
      <c r="AQ1058" s="630" t="s">
        <v>161</v>
      </c>
      <c r="AR1058" s="621" t="s">
        <v>6761</v>
      </c>
      <c r="AS1058" s="621">
        <v>276629180</v>
      </c>
      <c r="AT1058" s="432">
        <v>276629180</v>
      </c>
      <c r="AU10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8" s="621"/>
      <c r="AW1058" s="628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628">
        <f>IF(ISERROR(PV_DATA[[#This Row],[New Ark PO status]]),"",_xlfn.XLOOKUP(PV_DATA[[#This Row],[SPTN-PVHK New Ark PO'#]],New_Ark_Data[Purchase order Number],New_Ark_Data[Estimated time of arrival],"",0))</f>
        <v>0</v>
      </c>
      <c r="AZ105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628">
        <f>IFERROR(PV_DATA[[#This Row],[ODP ETA Port]]+PV_DATA[[#This Row],[Customs/Leg3 Assumption]],"n/a")</f>
        <v>46330</v>
      </c>
      <c r="BB1058" s="443" t="s">
        <v>6531</v>
      </c>
      <c r="BC1058" s="443" t="s">
        <v>6531</v>
      </c>
      <c r="BD1058" s="621">
        <f>IFERROR(_xlfn.ISOWEEKNUM(PV_DATA[[#This Row],[ETA for New Ark update]]),0)</f>
        <v>45</v>
      </c>
      <c r="BE1058" s="621">
        <f>_xlfn.XLOOKUP(PV_DATA[[#This Row],[New Ark SKU]],Table9[New Ark SKU],Table9[Total PCS per Pallet],,0)</f>
        <v>36</v>
      </c>
      <c r="BF1058" s="621">
        <f>_xlfn.XLOOKUP(PV_DATA[[#This Row],[New Ark SKU]],Table9[New Ark SKU],Table9[Total PCS per 40HQ Container],,0)</f>
        <v>720</v>
      </c>
      <c r="BG1058" s="621" t="str">
        <f>_xlfn.XLOOKUP(PV_DATA[[#This Row],[New Ark SKU]],Table9[New Ark SKU],Table9[Back Glass],,0)</f>
        <v>Redirection Film</v>
      </c>
      <c r="BH1058" s="631" t="str">
        <f>_xlfn.XLOOKUP(PV_DATA[[#This Row],[PORT DESTINATION]],Table12[PORT DESTINATION],Table12[Cosco Line],,0)</f>
        <v>n/a</v>
      </c>
      <c r="BJ1058" s="431"/>
    </row>
    <row r="1059" spans="1:91" ht="10.5" hidden="1">
      <c r="A1059" s="730" t="s">
        <v>6762</v>
      </c>
      <c r="B1059" s="440" t="s">
        <v>6707</v>
      </c>
      <c r="C1059" s="440" t="str">
        <f>IFERROR(LEFT(PV_DATA[[#This Row],[TCL REFERENCE]],FIND(".",PV_DATA[[#This Row],[TCL REFERENCE]],1)-1),"Main Line")</f>
        <v>26Aug005</v>
      </c>
      <c r="D1059" s="440" t="s">
        <v>63</v>
      </c>
      <c r="E1059" s="463" t="s">
        <v>64</v>
      </c>
      <c r="F1059" s="463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463" t="s">
        <v>402</v>
      </c>
      <c r="H1059" s="463" t="s">
        <v>67</v>
      </c>
      <c r="I1059" s="463" t="s">
        <v>689</v>
      </c>
      <c r="J1059" s="431" t="s">
        <v>96</v>
      </c>
      <c r="K1059" s="432"/>
      <c r="L1059" s="432"/>
      <c r="M1059" s="431" t="s">
        <v>6531</v>
      </c>
      <c r="N1059" s="462">
        <v>46258</v>
      </c>
      <c r="O1059" s="432" t="s">
        <v>4526</v>
      </c>
      <c r="P1059" s="431" t="s">
        <v>706</v>
      </c>
      <c r="Q1059" s="432" t="s">
        <v>707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±1200mm</v>
      </c>
      <c r="T1059" s="443">
        <v>500</v>
      </c>
      <c r="U1059" s="1212">
        <v>864</v>
      </c>
      <c r="V1059" s="449">
        <f>PV_DATA[[#This Row],[QUANTITY]]*PV_DATA[[#This Row],[WATT]]/1000000</f>
        <v>0.432</v>
      </c>
      <c r="W1059" s="467">
        <f>PV_DATA[[#This Row],[QUANTITY]]/PV_DATA[[#This Row],[Qty/Pallet]]</f>
        <v>24</v>
      </c>
      <c r="X1059" s="1114">
        <f>PV_DATA[[#This Row],[QUANTITY]]/PV_DATA[[#This Row],[Qty/CT]]</f>
        <v>1</v>
      </c>
      <c r="Y1059" s="432" t="s">
        <v>2468</v>
      </c>
      <c r="Z1059" s="432" t="str">
        <f t="shared" si="21"/>
        <v/>
      </c>
      <c r="AA1059" s="663">
        <v>46280</v>
      </c>
      <c r="AB1059" s="442"/>
      <c r="AC1059" s="468" t="str">
        <f>IF(PV_DATA[[#This Row],[Pick-Up Date]]&lt;&gt;"",_xlfn.ISOWEEKNUM(PV_DATA[[#This Row],[Pick-Up Date]]),"")</f>
        <v/>
      </c>
      <c r="AD1059" s="432"/>
      <c r="AE1059" s="432"/>
      <c r="AF1059" s="432" t="s">
        <v>122</v>
      </c>
      <c r="AG1059" s="432" t="s">
        <v>123</v>
      </c>
      <c r="AH1059" s="431" t="s">
        <v>78</v>
      </c>
      <c r="AI1059" s="442"/>
      <c r="AK1059" s="438"/>
      <c r="AL1059" s="442"/>
      <c r="AM1059" s="620"/>
      <c r="AN1059" s="588"/>
      <c r="AO1059" s="432"/>
      <c r="AP1059" s="432"/>
      <c r="AQ1059" s="619"/>
      <c r="AR1059" s="432"/>
      <c r="AS1059" s="432"/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32"/>
      <c r="AW1059" s="442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>IF(ISERROR(PV_DATA[[#This Row],[New Ark PO status]]),"",_xlfn.XLOOKUP(PV_DATA[[#This Row],[SPTN-PVHK New Ark PO'#]],New_Ark_Data[Purchase order Number],New_Ark_Data[Estimated time of arrival],"",0))</f>
        <v>0</v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442">
        <f>IFERROR(PV_DATA[[#This Row],[ODP ETA Port]]+PV_DATA[[#This Row],[Customs/Leg3 Assumption]],"n/a")</f>
        <v>46344</v>
      </c>
      <c r="BB1059" s="443">
        <f>YEAR(PV_DATA[[#This Row],[ETA for New Ark update]])</f>
        <v>2026</v>
      </c>
      <c r="BC1059" s="432">
        <f>MONTH(PV_DATA[[#This Row],[ETA for New Ark update]])</f>
        <v>11</v>
      </c>
      <c r="BD1059" s="432">
        <f>IFERROR(_xlfn.ISOWEEKNUM(PV_DATA[[#This Row],[ETA for New Ark update]]),0)</f>
        <v>47</v>
      </c>
      <c r="BE1059" s="432">
        <f>_xlfn.XLOOKUP(PV_DATA[[#This Row],[New Ark SKU]],Table9[New Ark SKU],Table9[Total PCS per Pallet],,0)</f>
        <v>36</v>
      </c>
      <c r="BF1059" s="432">
        <f>_xlfn.XLOOKUP(PV_DATA[[#This Row],[New Ark SKU]],Table9[New Ark SKU],Table9[Total PCS per 40HQ Container],,0)</f>
        <v>864</v>
      </c>
      <c r="BG1059" s="432" t="str">
        <f>_xlfn.XLOOKUP(PV_DATA[[#This Row],[New Ark SKU]],Table9[New Ark SKU],Table9[Back Glass],,0)</f>
        <v>Black glazing</v>
      </c>
      <c r="BH1059" s="624" t="str">
        <f>_xlfn.XLOOKUP(PV_DATA[[#This Row],[PORT DESTINATION]],Table12[PORT DESTINATION],Table12[Cosco Line],,0)</f>
        <v>AEM</v>
      </c>
      <c r="BJ1059" s="431"/>
    </row>
    <row r="1060" spans="1:91" ht="13.5" hidden="1" customHeight="1">
      <c r="A1060" s="730" t="s">
        <v>6763</v>
      </c>
      <c r="B1060" s="440" t="s">
        <v>111</v>
      </c>
      <c r="C1060" s="440" t="str">
        <f>IFERROR(LEFT(PV_DATA[[#This Row],[TCL REFERENCE]],FIND(".",PV_DATA[[#This Row],[TCL REFERENCE]],1)-1),"Main Line")</f>
        <v>26Aug015</v>
      </c>
      <c r="D1060" s="440" t="s">
        <v>63</v>
      </c>
      <c r="E1060" s="440" t="s">
        <v>64</v>
      </c>
      <c r="F1060" s="440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0" s="440" t="s">
        <v>402</v>
      </c>
      <c r="H1060" s="440" t="s">
        <v>67</v>
      </c>
      <c r="I1060" s="440" t="s">
        <v>689</v>
      </c>
      <c r="J1060" s="431" t="s">
        <v>96</v>
      </c>
      <c r="K1060" s="432"/>
      <c r="L1060" s="432"/>
      <c r="M1060" s="432" t="s">
        <v>68</v>
      </c>
      <c r="N1060" s="462">
        <v>46285</v>
      </c>
      <c r="O1060" s="432" t="s">
        <v>550</v>
      </c>
      <c r="P1060" s="431" t="s">
        <v>551</v>
      </c>
      <c r="Q1060" s="432" t="s">
        <v>2151</v>
      </c>
      <c r="R1060" s="432" t="str">
        <f>_xlfn.XLOOKUP(PV_DATA[[#This Row],[New Ark SKU]],Table9[New Ark SKU],Table9[Connector],,0)</f>
        <v>EVO2A</v>
      </c>
      <c r="S1060" s="443" t="str">
        <f>_xlfn.XLOOKUP(PV_DATA[[#This Row],[New Ark SKU]],Table9[New Ark SKU],Table9[Cable],,0)</f>
        <v>±1350mm</v>
      </c>
      <c r="T1060" s="443">
        <v>510</v>
      </c>
      <c r="U1060" s="1212">
        <v>1584</v>
      </c>
      <c r="V1060" s="449">
        <f>PV_DATA[[#This Row],[QUANTITY]]*PV_DATA[[#This Row],[WATT]]/1000000</f>
        <v>0.80784</v>
      </c>
      <c r="W1060" s="467">
        <f>PV_DATA[[#This Row],[QUANTITY]]/PV_DATA[[#This Row],[Qty/Pallet]]</f>
        <v>44</v>
      </c>
      <c r="X1060" s="1114">
        <f>PV_DATA[[#This Row],[QUANTITY]]/PV_DATA[[#This Row],[Qty/CT]]</f>
        <v>2</v>
      </c>
      <c r="Y1060" s="432" t="s">
        <v>2470</v>
      </c>
      <c r="Z1060" s="432" t="str">
        <f t="shared" si="21"/>
        <v/>
      </c>
      <c r="AA1060" s="432"/>
      <c r="AB1060" s="442"/>
      <c r="AC1060" s="468" t="str">
        <f>IF(PV_DATA[[#This Row],[Pick-Up Date]]&lt;&gt;"",_xlfn.ISOWEEKNUM(PV_DATA[[#This Row],[Pick-Up Date]]),"")</f>
        <v/>
      </c>
      <c r="AD1060" s="432"/>
      <c r="AE1060" s="432"/>
      <c r="AF1060" s="432" t="s">
        <v>122</v>
      </c>
      <c r="AG1060" s="432" t="s">
        <v>122</v>
      </c>
      <c r="AH1060" s="432" t="s">
        <v>78</v>
      </c>
      <c r="AI1060" s="442"/>
      <c r="AK1060" s="438"/>
      <c r="AL1060" s="442"/>
      <c r="AM1060" s="442"/>
      <c r="AN1060" s="588"/>
      <c r="AO1060" s="432"/>
      <c r="AP1060" s="432"/>
      <c r="AQ1060" s="446"/>
      <c r="AR1060" s="432"/>
      <c r="AS1060" s="432"/>
      <c r="AT1060" s="432"/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32"/>
      <c r="AW1060" s="442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2">
        <f>IF(ISERROR(PV_DATA[[#This Row],[New Ark PO status]]),"",_xlfn.XLOOKUP(PV_DATA[[#This Row],[SPTN-PVHK New Ark PO'#]],New_Ark_Data[Purchase order Number],New_Ark_Data[Estimated time of arrival],"",0))</f>
        <v>0</v>
      </c>
      <c r="AZ10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0" s="442">
        <f>IFERROR(PV_DATA[[#This Row],[ODP ETA Port]]+PV_DATA[[#This Row],[Customs/Leg3 Assumption]],"n/a")</f>
        <v>46358</v>
      </c>
      <c r="BB1060" s="443" t="s">
        <v>6531</v>
      </c>
      <c r="BC1060" s="443" t="s">
        <v>6531</v>
      </c>
      <c r="BD1060" s="432">
        <f>IFERROR(_xlfn.ISOWEEKNUM(PV_DATA[[#This Row],[ETA for New Ark update]]),0)</f>
        <v>49</v>
      </c>
      <c r="BE1060" s="432">
        <f>_xlfn.XLOOKUP(PV_DATA[[#This Row],[New Ark SKU]],Table9[New Ark SKU],Table9[Total PCS per Pallet],,0)</f>
        <v>36</v>
      </c>
      <c r="BF1060" s="432">
        <f>_xlfn.XLOOKUP(PV_DATA[[#This Row],[New Ark SKU]],Table9[New Ark SKU],Table9[Total PCS per 40HQ Container],,0)</f>
        <v>792</v>
      </c>
      <c r="BG1060" s="432" t="str">
        <f>_xlfn.XLOOKUP(PV_DATA[[#This Row],[New Ark SKU]],Table9[New Ark SKU],Table9[Back Glass],,0)</f>
        <v>Black glazing</v>
      </c>
      <c r="BH1060" s="624" t="str">
        <f>_xlfn.XLOOKUP(PV_DATA[[#This Row],[PORT DESTINATION]],Table12[PORT DESTINATION],Table12[Cosco Line],,0)</f>
        <v>AEM</v>
      </c>
      <c r="BJ1060" s="431"/>
    </row>
    <row r="1061" spans="1:91" s="432" customFormat="1" ht="13.5" hidden="1" customHeight="1">
      <c r="A1061" s="730" t="s">
        <v>6764</v>
      </c>
      <c r="B1061" s="440" t="s">
        <v>111</v>
      </c>
      <c r="C1061" s="440" t="str">
        <f>IFERROR(LEFT(PV_DATA[[#This Row],[TCL REFERENCE]],FIND(".",PV_DATA[[#This Row],[TCL REFERENCE]],1)-1),"Main Line")</f>
        <v>26Aug025</v>
      </c>
      <c r="D1061" s="728" t="s">
        <v>113</v>
      </c>
      <c r="E1061" s="440" t="s">
        <v>144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1" s="440" t="s">
        <v>402</v>
      </c>
      <c r="H1061" s="440" t="s">
        <v>670</v>
      </c>
      <c r="I1061" s="440" t="s">
        <v>1395</v>
      </c>
      <c r="J1061" s="440" t="s">
        <v>670</v>
      </c>
      <c r="K1061" s="432" t="s">
        <v>6238</v>
      </c>
      <c r="L1061" s="432">
        <v>20</v>
      </c>
      <c r="M1061" s="432" t="s">
        <v>4962</v>
      </c>
      <c r="N1061" s="462"/>
      <c r="O1061" s="432" t="s">
        <v>4526</v>
      </c>
      <c r="P1061" s="432" t="s">
        <v>6444</v>
      </c>
      <c r="Q1061" s="432" t="s">
        <v>4593</v>
      </c>
      <c r="R1061" s="432" t="str">
        <f>_xlfn.XLOOKUP(PV_DATA[[#This Row],[New Ark SKU]],Table9[New Ark SKU],Table9[Connector],,0)</f>
        <v>H4(Com)</v>
      </c>
      <c r="S1061" s="443" t="str">
        <f>_xlfn.XLOOKUP(PV_DATA[[#This Row],[New Ark SKU]],Table9[New Ark SKU],Table9[Cable],,0)</f>
        <v>+400mm/-200mm</v>
      </c>
      <c r="T1061" s="443">
        <v>630</v>
      </c>
      <c r="U1061" s="1156">
        <v>7920</v>
      </c>
      <c r="V1061" s="449">
        <f>PV_DATA[[#This Row],[QUANTITY]]*PV_DATA[[#This Row],[WATT]]/1000000</f>
        <v>4.9896000000000003</v>
      </c>
      <c r="W1061" s="627">
        <f>PV_DATA[[#This Row],[QUANTITY]]/36</f>
        <v>220</v>
      </c>
      <c r="X1061" s="1118">
        <f>PV_DATA[[#This Row],[QUANTITY]]/PV_DATA[[#This Row],[Qty/CT]]</f>
        <v>11</v>
      </c>
      <c r="Y1061" s="432" t="s">
        <v>2470</v>
      </c>
      <c r="Z1061" s="432" t="str">
        <f t="shared" si="19"/>
        <v/>
      </c>
      <c r="AA1061" s="1132" t="s">
        <v>5848</v>
      </c>
      <c r="AB1061" s="442">
        <v>46282</v>
      </c>
      <c r="AC1061" s="468">
        <f>IF(PV_DATA[[#This Row],[Pick-Up Date]]&lt;&gt;"",_xlfn.ISOWEEKNUM(PV_DATA[[#This Row],[Pick-Up Date]]),"")</f>
        <v>38</v>
      </c>
      <c r="AF1061" s="432" t="s">
        <v>122</v>
      </c>
      <c r="AG1061" s="432" t="s">
        <v>122</v>
      </c>
      <c r="AH1061" s="432" t="s">
        <v>105</v>
      </c>
      <c r="AI1061" s="442"/>
      <c r="AJ1061" s="442"/>
      <c r="AK1061" s="442" t="str">
        <f>IFERROR(IF(VLOOKUP(AT1061,Vessel!A:F,5,FALSE)=0,"",VLOOKUP(AT1061,Vessel!A:F,5,FALSE)),"")</f>
        <v/>
      </c>
      <c r="AL1061" s="442"/>
      <c r="AM1061" s="442"/>
      <c r="AN1061" s="588" t="str">
        <f>IFERROR(IF(VLOOKUP(AT1061,Vessel!A:I,9,FALSE)=0,"",VLOOKUP(AT1061,Vessel!A:I,9,FALSE)),"")</f>
        <v/>
      </c>
      <c r="AQ1061" s="446" t="s">
        <v>161</v>
      </c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1" s="442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>
        <f>IF(ISERROR(PV_DATA[[#This Row],[New Ark PO status]]),"",_xlfn.XLOOKUP(PV_DATA[[#This Row],[SPTN-PVHK New Ark PO'#]],New_Ark_Data[Purchase order Number],New_Ark_Data[Estimated time of arrival],"",0))</f>
        <v>0</v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1" s="442">
        <f>IFERROR(PV_DATA[[#This Row],[ODP ETA Port]]+PV_DATA[[#This Row],[Customs/Leg3 Assumption]],"n/a")</f>
        <v>46346</v>
      </c>
      <c r="BB1061" s="443">
        <f>YEAR(PV_DATA[[#This Row],[ETA for New Ark update]])</f>
        <v>2026</v>
      </c>
      <c r="BC1061" s="432">
        <f>MONTH(PV_DATA[[#This Row],[ETA for New Ark update]])</f>
        <v>11</v>
      </c>
      <c r="BD1061" s="432">
        <f>IFERROR(_xlfn.ISOWEEKNUM(PV_DATA[[#This Row],[ETA for New Ark update]]),0)</f>
        <v>47</v>
      </c>
      <c r="BE1061" s="432">
        <f>_xlfn.XLOOKUP(PV_DATA[[#This Row],[New Ark SKU]],Table9[New Ark SKU],Table9[Total PCS per Pallet],,0)</f>
        <v>36</v>
      </c>
      <c r="BF1061" s="432">
        <f>_xlfn.XLOOKUP(PV_DATA[[#This Row],[New Ark SKU]],Table9[New Ark SKU],Table9[Total PCS per 40HQ Container],,0)</f>
        <v>720</v>
      </c>
      <c r="BG1061" s="432" t="str">
        <f>_xlfn.XLOOKUP(PV_DATA[[#This Row],[New Ark SKU]],Table9[New Ark SKU],Table9[Back Glass],,0)</f>
        <v>Redirection Film</v>
      </c>
      <c r="BH1061" s="624" t="str">
        <f>_xlfn.XLOOKUP(PV_DATA[[#This Row],[PORT DESTINATION]],Table12[PORT DESTINATION],Table12[Cosco Line],,0)</f>
        <v>AEU</v>
      </c>
    </row>
    <row r="1062" spans="1:91" s="432" customFormat="1" ht="13.5" hidden="1" customHeight="1">
      <c r="A1062" s="730" t="s">
        <v>6765</v>
      </c>
      <c r="B1062" s="440" t="s">
        <v>1757</v>
      </c>
      <c r="C1062" s="440" t="str">
        <f>IFERROR(LEFT(PV_DATA[[#This Row],[TCL REFERENCE]],FIND(".",PV_DATA[[#This Row],[TCL REFERENCE]],1)-1),"Main Line")</f>
        <v>Main Line</v>
      </c>
      <c r="D1062" s="728" t="s">
        <v>113</v>
      </c>
      <c r="E1062" s="440" t="s">
        <v>68</v>
      </c>
      <c r="F1062" s="440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0" t="s">
        <v>68</v>
      </c>
      <c r="H1062" s="440" t="s">
        <v>68</v>
      </c>
      <c r="I1062" s="440" t="s">
        <v>68</v>
      </c>
      <c r="J1062" s="432" t="s">
        <v>68</v>
      </c>
      <c r="M1062" s="431" t="s">
        <v>6273</v>
      </c>
      <c r="N1062" s="462"/>
      <c r="O1062" s="432" t="s">
        <v>284</v>
      </c>
      <c r="P1062" s="431" t="s">
        <v>6766</v>
      </c>
      <c r="Q1062" s="432" t="s">
        <v>6767</v>
      </c>
      <c r="R1062" s="432" t="str">
        <f>_xlfn.XLOOKUP(PV_DATA[[#This Row],[New Ark SKU]],Table9[New Ark SKU],Table9[Connector],,0)</f>
        <v>EVO2A</v>
      </c>
      <c r="S1062" s="443" t="str">
        <f>_xlfn.XLOOKUP(PV_DATA[[#This Row],[New Ark SKU]],Table9[New Ark SKU],Table9[Cable],,0)</f>
        <v>±1200mm</v>
      </c>
      <c r="T1062" s="443">
        <v>490</v>
      </c>
      <c r="U1062" s="1212" cm="1">
        <f t="array" ref="U1062">37440-fx_qty</f>
        <v>0</v>
      </c>
      <c r="V1062" s="449">
        <f>PV_DATA[[#This Row],[QUANTITY]]*PV_DATA[[#This Row],[WATT]]/1000000</f>
        <v>0</v>
      </c>
      <c r="W1062" s="627">
        <f>PV_DATA[[#This Row],[QUANTITY]]/36</f>
        <v>0</v>
      </c>
      <c r="X1062" s="1114">
        <f>PV_DATA[[#This Row],[QUANTITY]]/PV_DATA[[#This Row],[Qty/CT]]</f>
        <v>0</v>
      </c>
      <c r="Y1062" s="432" t="s">
        <v>6650</v>
      </c>
      <c r="Z1062" s="432" t="str">
        <f t="shared" ref="Z1062" si="22">IF(AN1062&lt;&gt;"","COMPLETED",IF(AK1062&lt;&gt;"","IN-TRANSIT",""))</f>
        <v/>
      </c>
      <c r="AA1062" s="432" t="s">
        <v>6768</v>
      </c>
      <c r="AB1062" s="442"/>
      <c r="AC1062" s="468" t="str">
        <f>IF(PV_DATA[[#This Row],[Pick-Up Date]]&lt;&gt;"",_xlfn.ISOWEEKNUM(PV_DATA[[#This Row],[Pick-Up Date]]),"")</f>
        <v/>
      </c>
      <c r="AF1062" s="432" t="s">
        <v>122</v>
      </c>
      <c r="AG1062" s="432" t="s">
        <v>122</v>
      </c>
      <c r="AH1062" s="432" t="s">
        <v>68</v>
      </c>
      <c r="AI1062" s="442"/>
      <c r="AJ1062" s="442"/>
      <c r="AK1062" s="438" t="str">
        <f>IFERROR(IF(VLOOKUP(AT1062,Vessel!A:F,5,FALSE)=0,"",VLOOKUP(AT1062,Vessel!A:F,5,FALSE)),"")</f>
        <v/>
      </c>
      <c r="AL1062" s="442"/>
      <c r="AM1062" s="442"/>
      <c r="AN1062" s="588" t="str">
        <f>IFERROR(IF(VLOOKUP(AT1062,Vessel!A:I,9,FALSE)=0,"",VLOOKUP(AT1062,Vessel!A:I,9,FALSE)),"")</f>
        <v/>
      </c>
      <c r="AQ1062" s="446"/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2" s="442" t="str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>
        <f>IF(ISERROR(PV_DATA[[#This Row],[New Ark PO status]]),"",_xlfn.XLOOKUP(PV_DATA[[#This Row],[SPTN-PVHK New Ark PO'#]],New_Ark_Data[Purchase order Number],New_Ark_Data[Estimated time of arrival],"",0))</f>
        <v>0</v>
      </c>
      <c r="AZ10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42" t="str">
        <f>IFERROR(PV_DATA[[#This Row],[ODP ETA Port]]+PV_DATA[[#This Row],[Customs/Leg3 Assumption]],"n/a")</f>
        <v>n/a</v>
      </c>
      <c r="BB1062" s="443" t="e">
        <f>YEAR(PV_DATA[[#This Row],[ETA for New Ark update]])</f>
        <v>#VALUE!</v>
      </c>
      <c r="BC1062" s="432" t="e">
        <f>MONTH(PV_DATA[[#This Row],[ETA for New Ark update]])</f>
        <v>#VALUE!</v>
      </c>
      <c r="BD1062" s="432">
        <f>IFERROR(_xlfn.ISOWEEKNUM(PV_DATA[[#This Row],[ETA for New Ark update]]),0)</f>
        <v>0</v>
      </c>
      <c r="BE1062" s="432">
        <f>_xlfn.XLOOKUP(PV_DATA[[#This Row],[New Ark SKU]],Table9[New Ark SKU],Table9[Total PCS per Pallet],,0)</f>
        <v>36</v>
      </c>
      <c r="BF1062" s="432">
        <f>_xlfn.XLOOKUP(PV_DATA[[#This Row],[New Ark SKU]],Table9[New Ark SKU],Table9[Total PCS per 40HQ Container],,0)</f>
        <v>936</v>
      </c>
      <c r="BG1062" s="432" t="str">
        <f>_xlfn.XLOOKUP(PV_DATA[[#This Row],[New Ark SKU]],Table9[New Ark SKU],Table9[Back Glass],,0)</f>
        <v>Black glazing</v>
      </c>
      <c r="BH1062" s="624" t="str">
        <f>_xlfn.XLOOKUP(PV_DATA[[#This Row],[PORT DESTINATION]],Table12[PORT DESTINATION],Table12[Cosco Line],,0)</f>
        <v>n/a</v>
      </c>
      <c r="BI1062" s="431"/>
      <c r="BJ1062" s="431"/>
      <c r="BK1062" s="431"/>
      <c r="BL1062" s="431"/>
      <c r="BM1062" s="431"/>
      <c r="BN1062" s="431"/>
      <c r="BO1062" s="431"/>
      <c r="BP1062" s="431"/>
      <c r="BQ1062" s="431"/>
      <c r="BR1062" s="431"/>
      <c r="BS1062" s="431"/>
      <c r="BT1062" s="431"/>
      <c r="BU1062" s="431"/>
      <c r="BV1062" s="431"/>
      <c r="BW1062" s="431"/>
      <c r="BX1062" s="431"/>
      <c r="BY1062" s="431"/>
      <c r="BZ1062" s="431"/>
      <c r="CA1062" s="431"/>
      <c r="CB1062" s="431"/>
      <c r="CC1062" s="431"/>
      <c r="CD1062" s="431"/>
      <c r="CE1062" s="431"/>
      <c r="CF1062" s="431"/>
      <c r="CG1062" s="431"/>
      <c r="CH1062" s="431"/>
      <c r="CI1062" s="431"/>
      <c r="CJ1062" s="431"/>
      <c r="CK1062" s="431"/>
      <c r="CL1062" s="431"/>
      <c r="CM1062" s="431"/>
    </row>
    <row r="1063" spans="1:91" s="432" customFormat="1" ht="13.5" hidden="1" customHeight="1">
      <c r="A1063" s="730" t="s">
        <v>6769</v>
      </c>
      <c r="B1063" s="440" t="s">
        <v>111</v>
      </c>
      <c r="C1063" s="1340" t="str">
        <f>IFERROR(LEFT(PV_DATA[[#This Row],[TCL REFERENCE]],FIND(".",PV_DATA[[#This Row],[TCL REFERENCE]],1)-1),"Main Line")</f>
        <v>Main Line</v>
      </c>
      <c r="D1063" s="728" t="s">
        <v>113</v>
      </c>
      <c r="E1063" s="440" t="s">
        <v>68</v>
      </c>
      <c r="F1063" s="72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0" t="s">
        <v>68</v>
      </c>
      <c r="H1063" s="440" t="s">
        <v>68</v>
      </c>
      <c r="I1063" s="440" t="s">
        <v>68</v>
      </c>
      <c r="J1063" s="432" t="s">
        <v>68</v>
      </c>
      <c r="K1063" s="621"/>
      <c r="L1063" s="621"/>
      <c r="M1063" s="432" t="s">
        <v>68</v>
      </c>
      <c r="N1063" s="632"/>
      <c r="O1063" s="621" t="s">
        <v>4526</v>
      </c>
      <c r="P1063" s="432" t="s">
        <v>6466</v>
      </c>
      <c r="Q1063" s="432" t="s">
        <v>103</v>
      </c>
      <c r="R1063" s="432" t="str">
        <f>_xlfn.XLOOKUP(PV_DATA[[#This Row],[New Ark SKU]],Table9[New Ark SKU],Table9[Connector],,0)</f>
        <v>H4(Com)</v>
      </c>
      <c r="S1063" s="443" t="str">
        <f>_xlfn.XLOOKUP(PV_DATA[[#This Row],[New Ark SKU]],Table9[New Ark SKU],Table9[Cable],,0)</f>
        <v>+400mm/-200mm</v>
      </c>
      <c r="T1063" s="443">
        <v>620</v>
      </c>
      <c r="U1063" s="1341" cm="1">
        <f t="array" ref="U1063">36000-fx_qty</f>
        <v>3600</v>
      </c>
      <c r="V1063" s="1342">
        <f>PV_DATA[[#This Row],[QUANTITY]]*PV_DATA[[#This Row],[WATT]]/1000000</f>
        <v>2.2320000000000002</v>
      </c>
      <c r="W1063" s="1343">
        <f>PV_DATA[[#This Row],[QUANTITY]]/PV_DATA[[#This Row],[Qty/Pallet]]</f>
        <v>100</v>
      </c>
      <c r="X1063" s="1118">
        <f>PV_DATA[[#This Row],[QUANTITY]]/PV_DATA[[#This Row],[Qty/CT]]</f>
        <v>5</v>
      </c>
      <c r="Y1063" s="1132" t="s">
        <v>6650</v>
      </c>
      <c r="Z1063" s="1132" t="str">
        <f>IF(AN1063&lt;&gt;"","COMPLETED",IF(AK1063&lt;&gt;"","IN-TRANSIT",""))</f>
        <v/>
      </c>
      <c r="AA1063" s="1132"/>
      <c r="AB1063" s="1134"/>
      <c r="AC1063" s="1135" t="str">
        <f>IF(PV_DATA[[#This Row],[Pick-Up Date]]&lt;&gt;"",_xlfn.ISOWEEKNUM(PV_DATA[[#This Row],[Pick-Up Date]]),"")</f>
        <v/>
      </c>
      <c r="AD1063" s="1132"/>
      <c r="AE1063" s="1132"/>
      <c r="AF1063" s="432" t="s">
        <v>122</v>
      </c>
      <c r="AG1063" s="432" t="s">
        <v>122</v>
      </c>
      <c r="AH1063" s="1132" t="s">
        <v>68</v>
      </c>
      <c r="AI1063" s="1134"/>
      <c r="AJ1063" s="1134"/>
      <c r="AK1063" s="1134"/>
      <c r="AL1063" s="1134"/>
      <c r="AM1063" s="1136"/>
      <c r="AN1063" s="1136"/>
      <c r="AO1063" s="1132"/>
      <c r="AP1063" s="1132"/>
      <c r="AQ1063" s="1227"/>
      <c r="AR1063" s="1132"/>
      <c r="AS1063" s="1132"/>
      <c r="AT1063" s="1132"/>
      <c r="AU1063" s="1132"/>
      <c r="AV1063" s="1132"/>
      <c r="AW1063" s="1134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134">
        <f>IF(ISERROR(PV_DATA[[#This Row],[New Ark PO status]]),"",_xlfn.XLOOKUP(PV_DATA[[#This Row],[SPTN-PVHK New Ark PO'#]],New_Ark_Data[Purchase order Number],New_Ark_Data[Estimated time of arrival],"",0))</f>
        <v>0</v>
      </c>
      <c r="AZ1063" s="11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1134" t="str">
        <f>IFERROR(PV_DATA[[#This Row],[ODP ETA Port]]+PV_DATA[[#This Row],[Customs/Leg3 Assumption]],"n/a")</f>
        <v>n/a</v>
      </c>
      <c r="BB1063" s="1133" t="e">
        <f>YEAR(PV_DATA[[#This Row],[ETA for New Ark update]])</f>
        <v>#VALUE!</v>
      </c>
      <c r="BC1063" s="1132" t="e">
        <f>MONTH(PV_DATA[[#This Row],[ETA for New Ark update]])</f>
        <v>#VALUE!</v>
      </c>
      <c r="BD1063" s="1132">
        <f>IFERROR(_xlfn.ISOWEEKNUM(PV_DATA[[#This Row],[ETA for New Ark update]]),0)</f>
        <v>0</v>
      </c>
      <c r="BE1063" s="1132">
        <f>_xlfn.XLOOKUP(PV_DATA[[#This Row],[New Ark SKU]],Table9[New Ark SKU],Table9[Total PCS per Pallet],,0)</f>
        <v>36</v>
      </c>
      <c r="BF1063" s="1132">
        <f>_xlfn.XLOOKUP(PV_DATA[[#This Row],[New Ark SKU]],Table9[New Ark SKU],Table9[Total PCS per 40HQ Container],,0)</f>
        <v>720</v>
      </c>
      <c r="BG1063" s="432" t="str">
        <f>_xlfn.XLOOKUP(PV_DATA[[#This Row],[New Ark SKU]],Table9[New Ark SKU],Table9[Back Glass],,0)</f>
        <v>Redirection Film</v>
      </c>
      <c r="BH1063" s="1137" t="str">
        <f>_xlfn.XLOOKUP(PV_DATA[[#This Row],[PORT DESTINATION]],Table12[PORT DESTINATION],Table12[Cosco Line],,0)</f>
        <v>n/a</v>
      </c>
    </row>
    <row r="1064" spans="1:91" ht="13.5" hidden="1" customHeight="1">
      <c r="A1064" s="730" t="s">
        <v>6770</v>
      </c>
      <c r="B1064" s="440" t="s">
        <v>1757</v>
      </c>
      <c r="C1064" s="440" t="str">
        <f>IFERROR(LEFT(PV_DATA[[#This Row],[TCL REFERENCE]],FIND(".",PV_DATA[[#This Row],[TCL REFERENCE]],1)-1),"Main Line")</f>
        <v>26Aug013</v>
      </c>
      <c r="D1064" s="728" t="s">
        <v>113</v>
      </c>
      <c r="E1064" s="440" t="s">
        <v>144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0" t="s">
        <v>402</v>
      </c>
      <c r="H1064" s="440" t="s">
        <v>670</v>
      </c>
      <c r="I1064" s="440" t="s">
        <v>1395</v>
      </c>
      <c r="J1064" s="440" t="s">
        <v>670</v>
      </c>
      <c r="K1064" s="432" t="s">
        <v>6771</v>
      </c>
      <c r="L1064" s="432"/>
      <c r="M1064" s="431" t="s">
        <v>840</v>
      </c>
      <c r="N1064" s="462"/>
      <c r="O1064" s="432" t="s">
        <v>284</v>
      </c>
      <c r="P1064" s="431" t="s">
        <v>6766</v>
      </c>
      <c r="Q1064" s="432" t="s">
        <v>6767</v>
      </c>
      <c r="R1064" s="432" t="str">
        <f>_xlfn.XLOOKUP(PV_DATA[[#This Row],[New Ark SKU]],Table9[New Ark SKU],Table9[Connector],,0)</f>
        <v>EVO2A</v>
      </c>
      <c r="S1064" s="443" t="str">
        <f>_xlfn.XLOOKUP(PV_DATA[[#This Row],[New Ark SKU]],Table9[New Ark SKU],Table9[Cable],,0)</f>
        <v>±1200mm</v>
      </c>
      <c r="T1064" s="443">
        <v>490</v>
      </c>
      <c r="U1064" s="1212">
        <v>5616</v>
      </c>
      <c r="V1064" s="449">
        <f>PV_DATA[[#This Row],[QUANTITY]]*PV_DATA[[#This Row],[WATT]]/1000000</f>
        <v>2.7518400000000001</v>
      </c>
      <c r="W1064" s="627">
        <f>PV_DATA[[#This Row],[QUANTITY]]/36</f>
        <v>156</v>
      </c>
      <c r="X1064" s="1114">
        <f>PV_DATA[[#This Row],[QUANTITY]]/PV_DATA[[#This Row],[Qty/CT]]</f>
        <v>6</v>
      </c>
      <c r="Y1064" s="432" t="s">
        <v>2468</v>
      </c>
      <c r="Z1064" s="432" t="str">
        <f t="shared" si="19"/>
        <v/>
      </c>
      <c r="AA1064" s="432" t="s">
        <v>6772</v>
      </c>
      <c r="AB1064" s="442"/>
      <c r="AC1064" s="468" t="str">
        <f>IF(PV_DATA[[#This Row],[Pick-Up Date]]&lt;&gt;"",_xlfn.ISOWEEKNUM(PV_DATA[[#This Row],[Pick-Up Date]]),"")</f>
        <v/>
      </c>
      <c r="AD1064" s="432"/>
      <c r="AE1064" s="432"/>
      <c r="AF1064" s="432" t="s">
        <v>122</v>
      </c>
      <c r="AG1064" s="432" t="s">
        <v>122</v>
      </c>
      <c r="AH1064" s="432" t="s">
        <v>105</v>
      </c>
      <c r="AI1064" s="442"/>
      <c r="AJ1064" s="442"/>
      <c r="AK1064" s="438" t="str">
        <f>IFERROR(IF(VLOOKUP(AT1064,Vessel!A:F,5,FALSE)=0,"",VLOOKUP(AT1064,Vessel!A:F,5,FALSE)),"")</f>
        <v/>
      </c>
      <c r="AL1064" s="442"/>
      <c r="AM1064" s="442"/>
      <c r="AN1064" s="588" t="str">
        <f>IFERROR(IF(VLOOKUP(AT1064,Vessel!A:I,9,FALSE)=0,"",VLOOKUP(AT1064,Vessel!A:I,9,FALSE)),"")</f>
        <v/>
      </c>
      <c r="AO1064" s="432"/>
      <c r="AP1064" s="432"/>
      <c r="AQ1064" s="446"/>
      <c r="AR1064" s="432"/>
      <c r="AS1064" s="432"/>
      <c r="AT1064" s="432"/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32"/>
      <c r="AW1064" s="442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>
        <f>IF(ISERROR(PV_DATA[[#This Row],[New Ark PO status]]),"",_xlfn.XLOOKUP(PV_DATA[[#This Row],[SPTN-PVHK New Ark PO'#]],New_Ark_Data[Purchase order Number],New_Ark_Data[Estimated time of arrival],"",0))</f>
        <v>0</v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2">
        <f>IFERROR(PV_DATA[[#This Row],[ODP ETA Port]]+PV_DATA[[#This Row],[Customs/Leg3 Assumption]],"n/a")</f>
        <v>46332</v>
      </c>
      <c r="BB1064" s="443">
        <f>YEAR(PV_DATA[[#This Row],[ETA for New Ark update]])</f>
        <v>2026</v>
      </c>
      <c r="BC1064" s="432">
        <f>MONTH(PV_DATA[[#This Row],[ETA for New Ark update]])</f>
        <v>11</v>
      </c>
      <c r="BD1064" s="432">
        <f>IFERROR(_xlfn.ISOWEEKNUM(PV_DATA[[#This Row],[ETA for New Ark update]]),0)</f>
        <v>45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936</v>
      </c>
      <c r="BG1064" s="432" t="str">
        <f>_xlfn.XLOOKUP(PV_DATA[[#This Row],[New Ark SKU]],Table9[New Ark SKU],Table9[Back Glass],,0)</f>
        <v>Black glazing</v>
      </c>
      <c r="BH1064" s="624" t="str">
        <f>_xlfn.XLOOKUP(PV_DATA[[#This Row],[PORT DESTINATION]],Table12[PORT DESTINATION],Table12[Cosco Line],,0)</f>
        <v>AEU</v>
      </c>
      <c r="BJ1064" s="431"/>
    </row>
    <row r="1065" spans="1:91" ht="13.5" hidden="1" customHeight="1">
      <c r="A1065" s="730" t="s">
        <v>6773</v>
      </c>
      <c r="B1065" s="440" t="s">
        <v>1757</v>
      </c>
      <c r="C1065" s="440" t="str">
        <f>IFERROR(LEFT(PV_DATA[[#This Row],[TCL REFERENCE]],FIND(".",PV_DATA[[#This Row],[TCL REFERENCE]],1)-1),"Main Line")</f>
        <v>26Aug013</v>
      </c>
      <c r="D1065" s="728" t="s">
        <v>113</v>
      </c>
      <c r="E1065" s="440" t="s">
        <v>144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40" t="s">
        <v>402</v>
      </c>
      <c r="H1065" s="440" t="s">
        <v>670</v>
      </c>
      <c r="I1065" s="440" t="s">
        <v>1395</v>
      </c>
      <c r="J1065" s="440" t="s">
        <v>670</v>
      </c>
      <c r="K1065" s="432" t="s">
        <v>6771</v>
      </c>
      <c r="L1065" s="432"/>
      <c r="M1065" s="431" t="s">
        <v>840</v>
      </c>
      <c r="N1065" s="462"/>
      <c r="O1065" s="432" t="s">
        <v>284</v>
      </c>
      <c r="P1065" s="431" t="s">
        <v>6766</v>
      </c>
      <c r="Q1065" s="432" t="s">
        <v>6767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±1200mm</v>
      </c>
      <c r="T1065" s="443">
        <v>490</v>
      </c>
      <c r="U1065" s="1212">
        <f>936*4</f>
        <v>3744</v>
      </c>
      <c r="V1065" s="449">
        <f>PV_DATA[[#This Row],[QUANTITY]]*PV_DATA[[#This Row],[WATT]]/1000000</f>
        <v>1.83456</v>
      </c>
      <c r="W1065" s="627">
        <f>PV_DATA[[#This Row],[QUANTITY]]/36</f>
        <v>104</v>
      </c>
      <c r="X1065" s="1114">
        <f>PV_DATA[[#This Row],[QUANTITY]]/PV_DATA[[#This Row],[Qty/CT]]</f>
        <v>4</v>
      </c>
      <c r="Y1065" s="432" t="s">
        <v>2468</v>
      </c>
      <c r="Z1065" s="432" t="str">
        <f t="shared" si="19"/>
        <v/>
      </c>
      <c r="AA1065" s="432" t="s">
        <v>6774</v>
      </c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122</v>
      </c>
      <c r="AG1065" s="432" t="s">
        <v>122</v>
      </c>
      <c r="AH1065" s="432" t="s">
        <v>105</v>
      </c>
      <c r="AI1065" s="442"/>
      <c r="AJ1065" s="442"/>
      <c r="AK1065" s="438" t="str">
        <f>IFERROR(IF(VLOOKUP(AT1065,Vessel!A:F,5,FALSE)=0,"",VLOOKUP(AT1065,Vessel!A:F,5,FALSE)),"")</f>
        <v/>
      </c>
      <c r="AL1065" s="442"/>
      <c r="AM1065" s="442"/>
      <c r="AN1065" s="588" t="str">
        <f>IFERROR(IF(VLOOKUP(AT1065,Vessel!A:I,9,FALSE)=0,"",VLOOKUP(AT1065,Vessel!A:I,9,FALSE)),"")</f>
        <v/>
      </c>
      <c r="AO1065" s="432"/>
      <c r="AP1065" s="432"/>
      <c r="AQ1065" s="446"/>
      <c r="AR1065" s="432"/>
      <c r="AS1065" s="432"/>
      <c r="AT1065" s="432"/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32"/>
      <c r="AW1065" s="442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 t="str">
        <f>IF(ISERROR(PV_DATA[[#This Row],[New Ark PO status]]),"",_xlfn.XLOOKUP(PV_DATA[[#This Row],[SPTN-PVHK New Ark PO'#]],New_Ark_Data[Purchase order Number],New_Ark_Data[Estimated time of arrival],"",0))</f>
        <v/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2">
        <f>IFERROR(PV_DATA[[#This Row],[ODP ETA Port]]+PV_DATA[[#This Row],[Customs/Leg3 Assumption]],"n/a")</f>
        <v>46332</v>
      </c>
      <c r="BB1065" s="443">
        <f>YEAR(PV_DATA[[#This Row],[ETA for New Ark update]])</f>
        <v>2026</v>
      </c>
      <c r="BC1065" s="432">
        <f>MONTH(PV_DATA[[#This Row],[ETA for New Ark update]])</f>
        <v>11</v>
      </c>
      <c r="BD1065" s="432">
        <f>IFERROR(_xlfn.ISOWEEKNUM(PV_DATA[[#This Row],[ETA for New Ark update]]),0)</f>
        <v>45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936</v>
      </c>
      <c r="BG1065" s="432" t="str">
        <f>_xlfn.XLOOKUP(PV_DATA[[#This Row],[New Ark SKU]],Table9[New Ark SKU],Table9[Back Glass],,0)</f>
        <v>Black glazing</v>
      </c>
      <c r="BH1065" s="624" t="str">
        <f>_xlfn.XLOOKUP(PV_DATA[[#This Row],[PORT DESTINATION]],Table12[PORT DESTINATION],Table12[Cosco Line],,0)</f>
        <v>AEU</v>
      </c>
      <c r="BJ1065" s="431"/>
    </row>
    <row r="1066" spans="1:91" ht="13.5" hidden="1" customHeight="1">
      <c r="A1066" s="730" t="s">
        <v>6775</v>
      </c>
      <c r="B1066" s="440" t="s">
        <v>1757</v>
      </c>
      <c r="C1066" s="440" t="str">
        <f>IFERROR(LEFT(PV_DATA[[#This Row],[TCL REFERENCE]],FIND(".",PV_DATA[[#This Row],[TCL REFERENCE]],1)-1),"Main Line")</f>
        <v>26Aug013</v>
      </c>
      <c r="D1066" s="728" t="s">
        <v>113</v>
      </c>
      <c r="E1066" s="440" t="s">
        <v>144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40" t="s">
        <v>402</v>
      </c>
      <c r="H1066" s="440" t="s">
        <v>670</v>
      </c>
      <c r="I1066" s="440" t="s">
        <v>1395</v>
      </c>
      <c r="J1066" s="440" t="s">
        <v>670</v>
      </c>
      <c r="K1066" s="432" t="s">
        <v>6771</v>
      </c>
      <c r="L1066" s="432">
        <v>1</v>
      </c>
      <c r="M1066" s="431" t="s">
        <v>840</v>
      </c>
      <c r="N1066" s="462"/>
      <c r="O1066" s="432" t="s">
        <v>284</v>
      </c>
      <c r="P1066" s="431" t="s">
        <v>6766</v>
      </c>
      <c r="Q1066" s="432" t="s">
        <v>6767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490</v>
      </c>
      <c r="U1066" s="1212">
        <v>8424</v>
      </c>
      <c r="V1066" s="449">
        <f>PV_DATA[[#This Row],[QUANTITY]]*PV_DATA[[#This Row],[WATT]]/1000000</f>
        <v>4.1277600000000003</v>
      </c>
      <c r="W1066" s="627">
        <f>PV_DATA[[#This Row],[QUANTITY]]/36</f>
        <v>234</v>
      </c>
      <c r="X1066" s="1114">
        <f>PV_DATA[[#This Row],[QUANTITY]]/PV_DATA[[#This Row],[Qty/CT]]</f>
        <v>9</v>
      </c>
      <c r="Y1066" s="432" t="s">
        <v>2469</v>
      </c>
      <c r="Z1066" s="432" t="str">
        <f t="shared" si="19"/>
        <v/>
      </c>
      <c r="AA1066" s="451" t="s">
        <v>6776</v>
      </c>
      <c r="AB1066" s="442">
        <v>46279</v>
      </c>
      <c r="AC1066" s="468">
        <f>IF(PV_DATA[[#This Row],[Pick-Up Date]]&lt;&gt;"",_xlfn.ISOWEEKNUM(PV_DATA[[#This Row],[Pick-Up Date]]),"")</f>
        <v>38</v>
      </c>
      <c r="AD1066" s="432"/>
      <c r="AE1066" s="432"/>
      <c r="AF1066" s="432" t="s">
        <v>122</v>
      </c>
      <c r="AG1066" s="432" t="s">
        <v>122</v>
      </c>
      <c r="AH1066" s="432" t="s">
        <v>105</v>
      </c>
      <c r="AI1066" s="442">
        <v>46288</v>
      </c>
      <c r="AJ1066" s="442"/>
      <c r="AK1066" s="438" t="str">
        <f>IFERROR(IF(VLOOKUP(AT1066,Vessel!A:F,5,FALSE)=0,"",VLOOKUP(AT1066,Vessel!A:F,5,FALSE)),"")</f>
        <v/>
      </c>
      <c r="AL1066" s="442">
        <v>46324</v>
      </c>
      <c r="AM1066" s="442"/>
      <c r="AN1066" s="588" t="str">
        <f>IFERROR(IF(VLOOKUP(AT1066,Vessel!A:I,9,FALSE)=0,"",VLOOKUP(AT1066,Vessel!A:I,9,FALSE)),"")</f>
        <v/>
      </c>
      <c r="AO1066" s="432"/>
      <c r="AP1066" s="432" t="s">
        <v>6777</v>
      </c>
      <c r="AQ1066" s="446" t="s">
        <v>80</v>
      </c>
      <c r="AR1066" s="432" t="s">
        <v>6778</v>
      </c>
      <c r="AS1066" s="451" t="s">
        <v>6779</v>
      </c>
      <c r="AT1066" s="432" t="s">
        <v>6779</v>
      </c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66" s="432"/>
      <c r="AW1066" s="442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 t="str">
        <f>IF(ISERROR(PV_DATA[[#This Row],[New Ark PO status]]),"",_xlfn.XLOOKUP(PV_DATA[[#This Row],[SPTN-PVHK New Ark PO'#]],New_Ark_Data[Purchase order Number],New_Ark_Data[Estimated time of arrival],"",0))</f>
        <v/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442">
        <f>IFERROR(PV_DATA[[#This Row],[ODP ETA Port]]+PV_DATA[[#This Row],[Customs/Leg3 Assumption]],"n/a")</f>
        <v>46324</v>
      </c>
      <c r="BB1066" s="443">
        <f>YEAR(PV_DATA[[#This Row],[ETA for New Ark update]])</f>
        <v>2026</v>
      </c>
      <c r="BC1066" s="432">
        <f>MONTH(PV_DATA[[#This Row],[ETA for New Ark update]])</f>
        <v>10</v>
      </c>
      <c r="BD1066" s="432">
        <f>IFERROR(_xlfn.ISOWEEKNUM(PV_DATA[[#This Row],[ETA for New Ark update]]),0)</f>
        <v>44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936</v>
      </c>
      <c r="BG1066" s="432" t="str">
        <f>_xlfn.XLOOKUP(PV_DATA[[#This Row],[New Ark SKU]],Table9[New Ark SKU],Table9[Back Glass],,0)</f>
        <v>Black glazing</v>
      </c>
      <c r="BH1066" s="624" t="str">
        <f>_xlfn.XLOOKUP(PV_DATA[[#This Row],[PORT DESTINATION]],Table12[PORT DESTINATION],Table12[Cosco Line],,0)</f>
        <v>AEU</v>
      </c>
      <c r="BJ1066" s="431"/>
    </row>
    <row r="1067" spans="1:91" ht="13.5" hidden="1" customHeight="1">
      <c r="A1067" s="730" t="s">
        <v>6780</v>
      </c>
      <c r="B1067" s="440" t="s">
        <v>1757</v>
      </c>
      <c r="C1067" s="440" t="str">
        <f>IFERROR(LEFT(PV_DATA[[#This Row],[TCL REFERENCE]],FIND(".",PV_DATA[[#This Row],[TCL REFERENCE]],1)-1),"Main Line")</f>
        <v>26Aug013</v>
      </c>
      <c r="D1067" s="728" t="s">
        <v>113</v>
      </c>
      <c r="E1067" s="440" t="s">
        <v>144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440" t="s">
        <v>402</v>
      </c>
      <c r="H1067" s="440" t="s">
        <v>670</v>
      </c>
      <c r="I1067" s="440" t="s">
        <v>1395</v>
      </c>
      <c r="J1067" s="440" t="s">
        <v>670</v>
      </c>
      <c r="K1067" s="432" t="s">
        <v>6771</v>
      </c>
      <c r="L1067" s="432"/>
      <c r="M1067" s="431" t="s">
        <v>840</v>
      </c>
      <c r="N1067" s="462"/>
      <c r="O1067" s="432" t="s">
        <v>284</v>
      </c>
      <c r="P1067" s="431" t="s">
        <v>6766</v>
      </c>
      <c r="Q1067" s="432" t="s">
        <v>6767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±1200mm</v>
      </c>
      <c r="T1067" s="443">
        <v>490</v>
      </c>
      <c r="U1067" s="1212">
        <v>2808</v>
      </c>
      <c r="V1067" s="449">
        <f>PV_DATA[[#This Row],[QUANTITY]]*PV_DATA[[#This Row],[WATT]]/1000000</f>
        <v>1.37592</v>
      </c>
      <c r="W1067" s="627">
        <f>PV_DATA[[#This Row],[QUANTITY]]/36</f>
        <v>78</v>
      </c>
      <c r="X1067" s="1114">
        <f>PV_DATA[[#This Row],[QUANTITY]]/PV_DATA[[#This Row],[Qty/CT]]</f>
        <v>3</v>
      </c>
      <c r="Y1067" s="432" t="s">
        <v>2469</v>
      </c>
      <c r="Z1067" s="432" t="str">
        <f>IF(AN1067&lt;&gt;"","COMPLETED",IF(AK1067&lt;&gt;"","IN-TRANSIT",""))</f>
        <v/>
      </c>
      <c r="AA1067" s="663">
        <v>46292</v>
      </c>
      <c r="AB1067" s="442"/>
      <c r="AC1067" s="468" t="str">
        <f>IF(PV_DATA[[#This Row],[Pick-Up Date]]&lt;&gt;"",_xlfn.ISOWEEKNUM(PV_DATA[[#This Row],[Pick-Up Date]]),"")</f>
        <v/>
      </c>
      <c r="AD1067" s="432"/>
      <c r="AE1067" s="432"/>
      <c r="AF1067" s="432" t="s">
        <v>5992</v>
      </c>
      <c r="AG1067" s="432" t="s">
        <v>5992</v>
      </c>
      <c r="AH1067" s="432" t="s">
        <v>105</v>
      </c>
      <c r="AI1067" s="442"/>
      <c r="AJ1067" s="442"/>
      <c r="AK1067" s="438" t="str">
        <f>IFERROR(IF(VLOOKUP(AT1067,Vessel!A:F,5,FALSE)=0,"",VLOOKUP(AT1067,Vessel!A:F,5,FALSE)),"")</f>
        <v/>
      </c>
      <c r="AL1067" s="442"/>
      <c r="AM1067" s="442"/>
      <c r="AN1067" s="588" t="str">
        <f>IFERROR(IF(VLOOKUP(AT1067,Vessel!A:I,9,FALSE)=0,"",VLOOKUP(AT1067,Vessel!A:I,9,FALSE)),"")</f>
        <v/>
      </c>
      <c r="AO1067" s="432"/>
      <c r="AP1067" s="432"/>
      <c r="AQ1067" s="446"/>
      <c r="AR1067" s="432"/>
      <c r="AS1067" s="432"/>
      <c r="AT1067" s="432"/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32"/>
      <c r="AW1067" s="442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>
        <f>IF(ISERROR(PV_DATA[[#This Row],[New Ark PO status]]),"",_xlfn.XLOOKUP(PV_DATA[[#This Row],[SPTN-PVHK New Ark PO'#]],New_Ark_Data[Purchase order Number],New_Ark_Data[Estimated time of arrival],"",0))</f>
        <v>0</v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442">
        <f>IFERROR(PV_DATA[[#This Row],[ODP ETA Port]]+PV_DATA[[#This Row],[Customs/Leg3 Assumption]],"n/a")</f>
        <v>46339</v>
      </c>
      <c r="BB1067" s="443">
        <f>YEAR(PV_DATA[[#This Row],[ETA for New Ark update]])</f>
        <v>2026</v>
      </c>
      <c r="BC1067" s="432">
        <f>MONTH(PV_DATA[[#This Row],[ETA for New Ark update]])</f>
        <v>11</v>
      </c>
      <c r="BD1067" s="432">
        <f>IFERROR(_xlfn.ISOWEEKNUM(PV_DATA[[#This Row],[ETA for New Ark update]]),0)</f>
        <v>46</v>
      </c>
      <c r="BE1067" s="432">
        <f>_xlfn.XLOOKUP(PV_DATA[[#This Row],[New Ark SKU]],Table9[New Ark SKU],Table9[Total PCS per Pallet],,0)</f>
        <v>36</v>
      </c>
      <c r="BF1067" s="432">
        <f>_xlfn.XLOOKUP(PV_DATA[[#This Row],[New Ark SKU]],Table9[New Ark SKU],Table9[Total PCS per 40HQ Container],,0)</f>
        <v>936</v>
      </c>
      <c r="BG1067" s="432" t="str">
        <f>_xlfn.XLOOKUP(PV_DATA[[#This Row],[New Ark SKU]],Table9[New Ark SKU],Table9[Back Glass],,0)</f>
        <v>Black glazing</v>
      </c>
      <c r="BH1067" s="624" t="str">
        <f>_xlfn.XLOOKUP(PV_DATA[[#This Row],[PORT DESTINATION]],Table12[PORT DESTINATION],Table12[Cosco Line],,0)</f>
        <v>AEU</v>
      </c>
      <c r="BJ1067" s="431"/>
    </row>
    <row r="1068" spans="1:91" ht="13.5" hidden="1" customHeight="1">
      <c r="A1068" s="730" t="s">
        <v>6781</v>
      </c>
      <c r="B1068" s="440" t="s">
        <v>1757</v>
      </c>
      <c r="C1068" s="440" t="str">
        <f>IFERROR(LEFT(PV_DATA[[#This Row],[TCL REFERENCE]],FIND(".",PV_DATA[[#This Row],[TCL REFERENCE]],1)-1),"Main Line")</f>
        <v>26Aug013</v>
      </c>
      <c r="D1068" s="728" t="s">
        <v>113</v>
      </c>
      <c r="E1068" s="440" t="s">
        <v>144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40" t="s">
        <v>402</v>
      </c>
      <c r="H1068" s="440" t="s">
        <v>670</v>
      </c>
      <c r="I1068" s="440" t="s">
        <v>1395</v>
      </c>
      <c r="J1068" s="440" t="s">
        <v>670</v>
      </c>
      <c r="K1068" s="432" t="s">
        <v>6771</v>
      </c>
      <c r="L1068" s="432"/>
      <c r="M1068" s="431" t="s">
        <v>840</v>
      </c>
      <c r="N1068" s="462"/>
      <c r="O1068" s="432" t="s">
        <v>284</v>
      </c>
      <c r="P1068" s="431" t="s">
        <v>6766</v>
      </c>
      <c r="Q1068" s="432" t="s">
        <v>6767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±1200mm</v>
      </c>
      <c r="T1068" s="443">
        <v>490</v>
      </c>
      <c r="U1068" s="1212">
        <f>936*5</f>
        <v>4680</v>
      </c>
      <c r="V1068" s="449">
        <f>PV_DATA[[#This Row],[QUANTITY]]*PV_DATA[[#This Row],[WATT]]/1000000</f>
        <v>2.2932000000000001</v>
      </c>
      <c r="W1068" s="627">
        <f>PV_DATA[[#This Row],[QUANTITY]]/36</f>
        <v>130</v>
      </c>
      <c r="X1068" s="1114">
        <f>PV_DATA[[#This Row],[QUANTITY]]/PV_DATA[[#This Row],[Qty/CT]]</f>
        <v>5</v>
      </c>
      <c r="Y1068" s="432" t="s">
        <v>2469</v>
      </c>
      <c r="Z1068" s="432" t="str">
        <f>IF(AN1068&lt;&gt;"","COMPLETED",IF(AK1068&lt;&gt;"","IN-TRANSIT",""))</f>
        <v/>
      </c>
      <c r="AA1068" s="432" t="s">
        <v>6782</v>
      </c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32" t="s">
        <v>5992</v>
      </c>
      <c r="AG1068" s="432" t="s">
        <v>5992</v>
      </c>
      <c r="AH1068" s="432" t="s">
        <v>105</v>
      </c>
      <c r="AI1068" s="442"/>
      <c r="AJ1068" s="442"/>
      <c r="AK1068" s="438" t="str">
        <f>IFERROR(IF(VLOOKUP(AT1068,Vessel!A:F,5,FALSE)=0,"",VLOOKUP(AT1068,Vessel!A:F,5,FALSE)),"")</f>
        <v/>
      </c>
      <c r="AL1068" s="442"/>
      <c r="AM1068" s="442"/>
      <c r="AN1068" s="588" t="str">
        <f>IFERROR(IF(VLOOKUP(AT1068,Vessel!A:I,9,FALSE)=0,"",VLOOKUP(AT1068,Vessel!A:I,9,FALSE)),"")</f>
        <v/>
      </c>
      <c r="AO1068" s="432"/>
      <c r="AP1068" s="432"/>
      <c r="AQ1068" s="446" t="s">
        <v>80</v>
      </c>
      <c r="AR1068" s="432"/>
      <c r="AS1068" s="432"/>
      <c r="AT1068" s="432"/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32"/>
      <c r="AW1068" s="442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>
        <f>IF(ISERROR(PV_DATA[[#This Row],[New Ark PO status]]),"",_xlfn.XLOOKUP(PV_DATA[[#This Row],[SPTN-PVHK New Ark PO'#]],New_Ark_Data[Purchase order Number],New_Ark_Data[Estimated time of arrival],"",0))</f>
        <v>0</v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42">
        <f>IFERROR(PV_DATA[[#This Row],[ODP ETA Port]]+PV_DATA[[#This Row],[Customs/Leg3 Assumption]],"n/a")</f>
        <v>46339</v>
      </c>
      <c r="BB1068" s="443">
        <f>YEAR(PV_DATA[[#This Row],[ETA for New Ark update]])</f>
        <v>2026</v>
      </c>
      <c r="BC1068" s="432">
        <f>MONTH(PV_DATA[[#This Row],[ETA for New Ark update]])</f>
        <v>11</v>
      </c>
      <c r="BD1068" s="432">
        <f>IFERROR(_xlfn.ISOWEEKNUM(PV_DATA[[#This Row],[ETA for New Ark update]]),0)</f>
        <v>46</v>
      </c>
      <c r="BE1068" s="432">
        <f>_xlfn.XLOOKUP(PV_DATA[[#This Row],[New Ark SKU]],Table9[New Ark SKU],Table9[Total PCS per Pallet],,0)</f>
        <v>36</v>
      </c>
      <c r="BF1068" s="432">
        <f>_xlfn.XLOOKUP(PV_DATA[[#This Row],[New Ark SKU]],Table9[New Ark SKU],Table9[Total PCS per 40HQ Container],,0)</f>
        <v>936</v>
      </c>
      <c r="BG1068" s="432" t="str">
        <f>_xlfn.XLOOKUP(PV_DATA[[#This Row],[New Ark SKU]],Table9[New Ark SKU],Table9[Back Glass],,0)</f>
        <v>Black glazing</v>
      </c>
      <c r="BH1068" s="624" t="str">
        <f>_xlfn.XLOOKUP(PV_DATA[[#This Row],[PORT DESTINATION]],Table12[PORT DESTINATION],Table12[Cosco Line],,0)</f>
        <v>AEU</v>
      </c>
      <c r="BJ1068" s="431"/>
    </row>
    <row r="1069" spans="1:91" ht="13.5" hidden="1" customHeight="1">
      <c r="A1069" s="730" t="s">
        <v>6783</v>
      </c>
      <c r="B1069" s="440" t="s">
        <v>1757</v>
      </c>
      <c r="C1069" s="440" t="str">
        <f>IFERROR(LEFT(PV_DATA[[#This Row],[TCL REFERENCE]],FIND(".",PV_DATA[[#This Row],[TCL REFERENCE]],1)-1),"Main Line")</f>
        <v>26Aug013</v>
      </c>
      <c r="D1069" s="728" t="s">
        <v>113</v>
      </c>
      <c r="E1069" s="440" t="s">
        <v>144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40" t="s">
        <v>402</v>
      </c>
      <c r="H1069" s="440" t="s">
        <v>670</v>
      </c>
      <c r="I1069" s="440" t="s">
        <v>1395</v>
      </c>
      <c r="J1069" s="440" t="s">
        <v>670</v>
      </c>
      <c r="K1069" s="432" t="s">
        <v>6771</v>
      </c>
      <c r="L1069" s="432"/>
      <c r="M1069" s="431" t="s">
        <v>840</v>
      </c>
      <c r="N1069" s="462"/>
      <c r="O1069" s="432" t="s">
        <v>284</v>
      </c>
      <c r="P1069" s="431" t="s">
        <v>6766</v>
      </c>
      <c r="Q1069" s="432" t="s">
        <v>6767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490</v>
      </c>
      <c r="U1069" s="1212">
        <f>936*8</f>
        <v>7488</v>
      </c>
      <c r="V1069" s="449">
        <f>PV_DATA[[#This Row],[QUANTITY]]*PV_DATA[[#This Row],[WATT]]/1000000</f>
        <v>3.6691199999999999</v>
      </c>
      <c r="W1069" s="627">
        <f>PV_DATA[[#This Row],[QUANTITY]]/36</f>
        <v>208</v>
      </c>
      <c r="X1069" s="1114">
        <f>PV_DATA[[#This Row],[QUANTITY]]/PV_DATA[[#This Row],[Qty/CT]]</f>
        <v>8</v>
      </c>
      <c r="Y1069" s="432" t="s">
        <v>2470</v>
      </c>
      <c r="Z1069" s="432" t="str">
        <f>IF(AN1069&lt;&gt;"","COMPLETED",IF(AK1069&lt;&gt;"","IN-TRANSIT",""))</f>
        <v/>
      </c>
      <c r="AA1069" s="432" t="s">
        <v>6784</v>
      </c>
      <c r="AB1069" s="442"/>
      <c r="AC1069" s="468" t="str">
        <f>IF(PV_DATA[[#This Row],[Pick-Up Date]]&lt;&gt;"",_xlfn.ISOWEEKNUM(PV_DATA[[#This Row],[Pick-Up Date]]),"")</f>
        <v/>
      </c>
      <c r="AD1069" s="432"/>
      <c r="AE1069" s="432"/>
      <c r="AF1069" s="432" t="s">
        <v>122</v>
      </c>
      <c r="AG1069" s="432" t="s">
        <v>122</v>
      </c>
      <c r="AH1069" s="432" t="s">
        <v>105</v>
      </c>
      <c r="AI1069" s="442"/>
      <c r="AJ1069" s="442"/>
      <c r="AK1069" s="438" t="str">
        <f>IFERROR(IF(VLOOKUP(AT1069,Vessel!A:F,5,FALSE)=0,"",VLOOKUP(AT1069,Vessel!A:F,5,FALSE)),"")</f>
        <v/>
      </c>
      <c r="AL1069" s="442"/>
      <c r="AM1069" s="442"/>
      <c r="AN1069" s="588" t="str">
        <f>IFERROR(IF(VLOOKUP(AT1069,Vessel!A:I,9,FALSE)=0,"",VLOOKUP(AT1069,Vessel!A:I,9,FALSE)),"")</f>
        <v/>
      </c>
      <c r="AO1069" s="432"/>
      <c r="AP1069" s="432"/>
      <c r="AQ1069" s="446" t="s">
        <v>80</v>
      </c>
      <c r="AR1069" s="432"/>
      <c r="AS1069" s="432"/>
      <c r="AT1069" s="432"/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32"/>
      <c r="AW1069" s="442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>
        <f>IF(ISERROR(PV_DATA[[#This Row],[New Ark PO status]]),"",_xlfn.XLOOKUP(PV_DATA[[#This Row],[SPTN-PVHK New Ark PO'#]],New_Ark_Data[Purchase order Number],New_Ark_Data[Estimated time of arrival],"",0))</f>
        <v>0</v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42">
        <f>IFERROR(PV_DATA[[#This Row],[ODP ETA Port]]+PV_DATA[[#This Row],[Customs/Leg3 Assumption]],"n/a")</f>
        <v>46346</v>
      </c>
      <c r="BB1069" s="443">
        <f>YEAR(PV_DATA[[#This Row],[ETA for New Ark update]])</f>
        <v>2026</v>
      </c>
      <c r="BC1069" s="432">
        <f>MONTH(PV_DATA[[#This Row],[ETA for New Ark update]])</f>
        <v>11</v>
      </c>
      <c r="BD1069" s="432">
        <f>IFERROR(_xlfn.ISOWEEKNUM(PV_DATA[[#This Row],[ETA for New Ark update]]),0)</f>
        <v>47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936</v>
      </c>
      <c r="BG1069" s="432" t="str">
        <f>_xlfn.XLOOKUP(PV_DATA[[#This Row],[New Ark SKU]],Table9[New Ark SKU],Table9[Back Glass],,0)</f>
        <v>Black glazing</v>
      </c>
      <c r="BH1069" s="624" t="str">
        <f>_xlfn.XLOOKUP(PV_DATA[[#This Row],[PORT DESTINATION]],Table12[PORT DESTINATION],Table12[Cosco Line],,0)</f>
        <v>AEU</v>
      </c>
      <c r="BJ1069" s="431"/>
    </row>
    <row r="1070" spans="1:91" ht="13.5" hidden="1" customHeight="1">
      <c r="A1070" s="730" t="s">
        <v>6785</v>
      </c>
      <c r="B1070" s="440" t="s">
        <v>1757</v>
      </c>
      <c r="C1070" s="440" t="str">
        <f>IFERROR(LEFT(PV_DATA[[#This Row],[TCL REFERENCE]],FIND(".",PV_DATA[[#This Row],[TCL REFERENCE]],1)-1),"Main Line")</f>
        <v>26Aug013</v>
      </c>
      <c r="D1070" s="728" t="s">
        <v>113</v>
      </c>
      <c r="E1070" s="440" t="s">
        <v>144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0" t="s">
        <v>402</v>
      </c>
      <c r="H1070" s="440" t="s">
        <v>670</v>
      </c>
      <c r="I1070" s="440" t="s">
        <v>1395</v>
      </c>
      <c r="J1070" s="440" t="s">
        <v>670</v>
      </c>
      <c r="K1070" s="432" t="s">
        <v>6771</v>
      </c>
      <c r="L1070" s="432"/>
      <c r="M1070" s="431" t="s">
        <v>840</v>
      </c>
      <c r="N1070" s="462"/>
      <c r="O1070" s="432" t="s">
        <v>284</v>
      </c>
      <c r="P1070" s="431" t="s">
        <v>6766</v>
      </c>
      <c r="Q1070" s="432" t="s">
        <v>6767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490</v>
      </c>
      <c r="U1070" s="1212">
        <v>4680</v>
      </c>
      <c r="V1070" s="449">
        <f>PV_DATA[[#This Row],[QUANTITY]]*PV_DATA[[#This Row],[WATT]]/1000000</f>
        <v>2.2932000000000001</v>
      </c>
      <c r="W1070" s="627">
        <f>PV_DATA[[#This Row],[QUANTITY]]/36</f>
        <v>130</v>
      </c>
      <c r="X1070" s="1114">
        <f>PV_DATA[[#This Row],[QUANTITY]]/PV_DATA[[#This Row],[Qty/CT]]</f>
        <v>5</v>
      </c>
      <c r="Y1070" s="432" t="s">
        <v>2470</v>
      </c>
      <c r="Z1070" s="432" t="str">
        <f>IF(AN1070&lt;&gt;"","COMPLETED",IF(AK1070&lt;&gt;"","IN-TRANSIT",""))</f>
        <v/>
      </c>
      <c r="AA1070" s="432" t="s">
        <v>6786</v>
      </c>
      <c r="AB1070" s="442"/>
      <c r="AC1070" s="468" t="str">
        <f>IF(PV_DATA[[#This Row],[Pick-Up Date]]&lt;&gt;"",_xlfn.ISOWEEKNUM(PV_DATA[[#This Row],[Pick-Up Date]]),"")</f>
        <v/>
      </c>
      <c r="AD1070" s="432"/>
      <c r="AE1070" s="432"/>
      <c r="AF1070" s="432" t="s">
        <v>122</v>
      </c>
      <c r="AG1070" s="432" t="s">
        <v>122</v>
      </c>
      <c r="AH1070" s="432" t="s">
        <v>105</v>
      </c>
      <c r="AI1070" s="442"/>
      <c r="AJ1070" s="442"/>
      <c r="AK1070" s="438" t="str">
        <f>IFERROR(IF(VLOOKUP(AT1070,Vessel!A:F,5,FALSE)=0,"",VLOOKUP(AT1070,Vessel!A:F,5,FALSE)),"")</f>
        <v/>
      </c>
      <c r="AL1070" s="442"/>
      <c r="AM1070" s="442"/>
      <c r="AN1070" s="588" t="str">
        <f>IFERROR(IF(VLOOKUP(AT1070,Vessel!A:I,9,FALSE)=0,"",VLOOKUP(AT1070,Vessel!A:I,9,FALSE)),"")</f>
        <v/>
      </c>
      <c r="AO1070" s="432"/>
      <c r="AP1070" s="432"/>
      <c r="AQ1070" s="446" t="s">
        <v>80</v>
      </c>
      <c r="AR1070" s="432"/>
      <c r="AS1070" s="432"/>
      <c r="AT1070" s="432"/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32"/>
      <c r="AW1070" s="442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>
        <f>IF(ISERROR(PV_DATA[[#This Row],[New Ark PO status]]),"",_xlfn.XLOOKUP(PV_DATA[[#This Row],[SPTN-PVHK New Ark PO'#]],New_Ark_Data[Purchase order Number],New_Ark_Data[Estimated time of arrival],"",0))</f>
        <v>0</v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2">
        <f>IFERROR(PV_DATA[[#This Row],[ODP ETA Port]]+PV_DATA[[#This Row],[Customs/Leg3 Assumption]],"n/a")</f>
        <v>46346</v>
      </c>
      <c r="BB1070" s="443">
        <f>YEAR(PV_DATA[[#This Row],[ETA for New Ark update]])</f>
        <v>2026</v>
      </c>
      <c r="BC1070" s="432">
        <f>MONTH(PV_DATA[[#This Row],[ETA for New Ark update]])</f>
        <v>11</v>
      </c>
      <c r="BD1070" s="432">
        <f>IFERROR(_xlfn.ISOWEEKNUM(PV_DATA[[#This Row],[ETA for New Ark update]]),0)</f>
        <v>47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936</v>
      </c>
      <c r="BG1070" s="432" t="str">
        <f>_xlfn.XLOOKUP(PV_DATA[[#This Row],[New Ark SKU]],Table9[New Ark SKU],Table9[Back Glass],,0)</f>
        <v>Black glazing</v>
      </c>
      <c r="BH1070" s="624" t="str">
        <f>_xlfn.XLOOKUP(PV_DATA[[#This Row],[PORT DESTINATION]],Table12[PORT DESTINATION],Table12[Cosco Line],,0)</f>
        <v>AEU</v>
      </c>
      <c r="BJ1070" s="431"/>
    </row>
    <row r="1071" spans="1:91" ht="13.5" hidden="1" customHeight="1">
      <c r="A1071" s="730" t="s">
        <v>6787</v>
      </c>
      <c r="B1071" s="440" t="s">
        <v>1757</v>
      </c>
      <c r="C1071" s="440" t="str">
        <f>IFERROR(LEFT(PV_DATA[[#This Row],[TCL REFERENCE]],FIND(".",PV_DATA[[#This Row],[TCL REFERENCE]],1)-1),"Main Line")</f>
        <v>Main Line</v>
      </c>
      <c r="D1071" s="440" t="s">
        <v>113</v>
      </c>
      <c r="E1071" s="440" t="s">
        <v>68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0" t="s">
        <v>68</v>
      </c>
      <c r="H1071" s="440" t="s">
        <v>68</v>
      </c>
      <c r="I1071" s="440" t="s">
        <v>68</v>
      </c>
      <c r="J1071" s="432" t="s">
        <v>68</v>
      </c>
      <c r="K1071" s="432"/>
      <c r="L1071" s="432"/>
      <c r="M1071" s="431" t="s">
        <v>6273</v>
      </c>
      <c r="N1071" s="462"/>
      <c r="O1071" s="432" t="s">
        <v>284</v>
      </c>
      <c r="P1071" s="431" t="s">
        <v>6788</v>
      </c>
      <c r="Q1071" s="432" t="s">
        <v>6789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485</v>
      </c>
      <c r="U1071" s="1212" cm="1">
        <f t="array" ref="U1071">37440-fx_qty</f>
        <v>0</v>
      </c>
      <c r="V1071" s="449">
        <f>PV_DATA[[#This Row],[QUANTITY]]*PV_DATA[[#This Row],[WATT]]/1000000</f>
        <v>0</v>
      </c>
      <c r="W1071" s="467">
        <f>PV_DATA[[#This Row],[QUANTITY]]/36</f>
        <v>0</v>
      </c>
      <c r="X1071" s="1114">
        <f>PV_DATA[[#This Row],[QUANTITY]]/PV_DATA[[#This Row],[Qty/CT]]</f>
        <v>0</v>
      </c>
      <c r="Y1071" s="432" t="s">
        <v>6650</v>
      </c>
      <c r="Z1071" s="432" t="str">
        <f t="shared" ref="Z1071" si="23">IF(AN1071&lt;&gt;"","COMPLETED",IF(AK1071&lt;&gt;"","IN-TRANSIT",""))</f>
        <v/>
      </c>
      <c r="AA1071" s="432" t="s">
        <v>6768</v>
      </c>
      <c r="AB1071" s="442"/>
      <c r="AC1071" s="468" t="str">
        <f>IF(PV_DATA[[#This Row],[Pick-Up Date]]&lt;&gt;"",_xlfn.ISOWEEKNUM(PV_DATA[[#This Row],[Pick-Up Date]]),"")</f>
        <v/>
      </c>
      <c r="AD1071" s="432"/>
      <c r="AE1071" s="432"/>
      <c r="AF1071" s="432" t="s">
        <v>122</v>
      </c>
      <c r="AG1071" s="432" t="s">
        <v>122</v>
      </c>
      <c r="AH1071" s="432" t="s">
        <v>68</v>
      </c>
      <c r="AI1071" s="442"/>
      <c r="AJ1071" s="442"/>
      <c r="AK1071" s="438" t="str">
        <f>IFERROR(IF(VLOOKUP(AT1071,Vessel!A:F,5,FALSE)=0,"",VLOOKUP(AT1071,Vessel!A:F,5,FALSE)),"")</f>
        <v/>
      </c>
      <c r="AL1071" s="442"/>
      <c r="AM1071" s="442"/>
      <c r="AN1071" s="588" t="str">
        <f>IFERROR(IF(VLOOKUP(AT1071,Vessel!A:I,9,FALSE)=0,"",VLOOKUP(AT1071,Vessel!A:I,9,FALSE)),"")</f>
        <v/>
      </c>
      <c r="AO1071" s="432"/>
      <c r="AP1071" s="432"/>
      <c r="AQ1071" s="446"/>
      <c r="AR1071" s="432"/>
      <c r="AS1071" s="432"/>
      <c r="AT1071" s="432"/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32"/>
      <c r="AW1071" s="442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42" t="str">
        <f>IFERROR(PV_DATA[[#This Row],[ODP ETA Port]]+PV_DATA[[#This Row],[Customs/Leg3 Assumption]],"n/a")</f>
        <v>n/a</v>
      </c>
      <c r="BB1071" s="443" t="e">
        <f>YEAR(PV_DATA[[#This Row],[ETA for New Ark update]])</f>
        <v>#VALUE!</v>
      </c>
      <c r="BC1071" s="432" t="e">
        <f>MONTH(PV_DATA[[#This Row],[ETA for New Ark update]])</f>
        <v>#VALUE!</v>
      </c>
      <c r="BD1071" s="432">
        <f>IFERROR(_xlfn.ISOWEEKNUM(PV_DATA[[#This Row],[ETA for New Ark update]]),0)</f>
        <v>0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624" t="str">
        <f>_xlfn.XLOOKUP(PV_DATA[[#This Row],[PORT DESTINATION]],Table12[PORT DESTINATION],Table12[Cosco Line],,0)</f>
        <v>n/a</v>
      </c>
      <c r="BI1071" s="860"/>
      <c r="BJ1071" s="860"/>
      <c r="BK1071" s="860"/>
      <c r="BL1071" s="860"/>
      <c r="BM1071" s="860"/>
      <c r="BN1071" s="860"/>
      <c r="BO1071" s="860"/>
      <c r="BP1071" s="860"/>
      <c r="BQ1071" s="860"/>
      <c r="BR1071" s="860"/>
      <c r="BS1071" s="860"/>
      <c r="BT1071" s="860"/>
      <c r="BU1071" s="860"/>
      <c r="BV1071" s="860"/>
      <c r="BW1071" s="860"/>
      <c r="BX1071" s="860"/>
      <c r="BY1071" s="860"/>
      <c r="BZ1071" s="860"/>
      <c r="CA1071" s="860"/>
      <c r="CB1071" s="860"/>
      <c r="CC1071" s="860"/>
      <c r="CD1071" s="860"/>
      <c r="CE1071" s="860"/>
      <c r="CF1071" s="860"/>
      <c r="CG1071" s="860"/>
      <c r="CH1071" s="860"/>
      <c r="CI1071" s="860"/>
      <c r="CJ1071" s="860"/>
      <c r="CK1071" s="860"/>
      <c r="CL1071" s="860"/>
      <c r="CM1071" s="860"/>
    </row>
    <row r="1072" spans="1:91" s="860" customFormat="1" ht="10.5" hidden="1">
      <c r="A1072" s="730" t="s">
        <v>6790</v>
      </c>
      <c r="B1072" s="440" t="s">
        <v>1757</v>
      </c>
      <c r="C1072" s="440" t="str">
        <f>IFERROR(LEFT(PV_DATA[[#This Row],[TCL REFERENCE]],FIND(".",PV_DATA[[#This Row],[TCL REFERENCE]],1)-1),"Main Line")</f>
        <v>26Aug014</v>
      </c>
      <c r="D1072" s="440" t="s">
        <v>113</v>
      </c>
      <c r="E1072" s="440" t="s">
        <v>144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0" t="s">
        <v>402</v>
      </c>
      <c r="H1072" s="440" t="s">
        <v>670</v>
      </c>
      <c r="I1072" s="440" t="s">
        <v>1395</v>
      </c>
      <c r="J1072" s="440" t="s">
        <v>670</v>
      </c>
      <c r="K1072" s="432" t="s">
        <v>6771</v>
      </c>
      <c r="L1072" s="432">
        <v>2</v>
      </c>
      <c r="M1072" s="431" t="s">
        <v>840</v>
      </c>
      <c r="N1072" s="462"/>
      <c r="O1072" s="432" t="s">
        <v>284</v>
      </c>
      <c r="P1072" s="431" t="s">
        <v>6788</v>
      </c>
      <c r="Q1072" s="432" t="s">
        <v>6789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485</v>
      </c>
      <c r="U1072" s="1212">
        <f>936*8</f>
        <v>7488</v>
      </c>
      <c r="V1072" s="449">
        <f>PV_DATA[[#This Row],[QUANTITY]]*PV_DATA[[#This Row],[WATT]]/1000000</f>
        <v>3.6316799999999998</v>
      </c>
      <c r="W1072" s="467">
        <f>PV_DATA[[#This Row],[QUANTITY]]/36</f>
        <v>208</v>
      </c>
      <c r="X1072" s="1114">
        <f>PV_DATA[[#This Row],[QUANTITY]]/PV_DATA[[#This Row],[Qty/CT]]</f>
        <v>8</v>
      </c>
      <c r="Y1072" s="432" t="s">
        <v>2468</v>
      </c>
      <c r="Z1072" s="432" t="str">
        <f t="shared" si="19"/>
        <v/>
      </c>
      <c r="AA1072" s="451" t="s">
        <v>6791</v>
      </c>
      <c r="AB1072" s="442"/>
      <c r="AC1072" s="468" t="str">
        <f>IF(PV_DATA[[#This Row],[Pick-Up Date]]&lt;&gt;"",_xlfn.ISOWEEKNUM(PV_DATA[[#This Row],[Pick-Up Date]]),"")</f>
        <v/>
      </c>
      <c r="AD1072" s="432"/>
      <c r="AE1072" s="432"/>
      <c r="AF1072" s="432" t="s">
        <v>122</v>
      </c>
      <c r="AG1072" s="432" t="s">
        <v>122</v>
      </c>
      <c r="AH1072" s="432" t="s">
        <v>105</v>
      </c>
      <c r="AI1072" s="442">
        <v>46290</v>
      </c>
      <c r="AJ1072" s="442"/>
      <c r="AK1072" s="438" t="str">
        <f>IFERROR(IF(VLOOKUP(AT1072,Vessel!A:F,5,FALSE)=0,"",VLOOKUP(AT1072,Vessel!A:F,5,FALSE)),"")</f>
        <v/>
      </c>
      <c r="AL1072" s="442">
        <v>46333</v>
      </c>
      <c r="AM1072" s="442"/>
      <c r="AN1072" s="588" t="str">
        <f>IFERROR(IF(VLOOKUP(AT1072,Vessel!A:I,9,FALSE)=0,"",VLOOKUP(AT1072,Vessel!A:I,9,FALSE)),"")</f>
        <v/>
      </c>
      <c r="AO1072" s="432"/>
      <c r="AP1072" s="432" t="s">
        <v>6792</v>
      </c>
      <c r="AQ1072" s="446" t="s">
        <v>80</v>
      </c>
      <c r="AR1072" s="432" t="s">
        <v>6793</v>
      </c>
      <c r="AS1072" s="451" t="s">
        <v>6794</v>
      </c>
      <c r="AT1072" s="451" t="s">
        <v>6794</v>
      </c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72" s="432"/>
      <c r="AW1072" s="442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 t="str">
        <f>IF(ISERROR(PV_DATA[[#This Row],[New Ark PO status]]),"",_xlfn.XLOOKUP(PV_DATA[[#This Row],[SPTN-PVHK New Ark PO'#]],New_Ark_Data[Purchase order Number],New_Ark_Data[Estimated time of arrival],"",0))</f>
        <v/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2">
        <f>IFERROR(PV_DATA[[#This Row],[ODP ETA Port]]+PV_DATA[[#This Row],[Customs/Leg3 Assumption]],"n/a")</f>
        <v>46333</v>
      </c>
      <c r="BB1072" s="443">
        <f>YEAR(PV_DATA[[#This Row],[ETA for New Ark update]])</f>
        <v>2026</v>
      </c>
      <c r="BC1072" s="432">
        <f>MONTH(PV_DATA[[#This Row],[ETA for New Ark update]])</f>
        <v>11</v>
      </c>
      <c r="BD1072" s="432">
        <f>IFERROR(_xlfn.ISOWEEKNUM(PV_DATA[[#This Row],[ETA for New Ark update]]),0)</f>
        <v>45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624" t="str">
        <f>_xlfn.XLOOKUP(PV_DATA[[#This Row],[PORT DESTINATION]],Table12[PORT DESTINATION],Table12[Cosco Line],,0)</f>
        <v>AEU</v>
      </c>
    </row>
    <row r="1073" spans="1:91" s="432" customFormat="1" ht="10.5" hidden="1">
      <c r="A1073" s="440" t="s">
        <v>6795</v>
      </c>
      <c r="B1073" s="440" t="s">
        <v>1757</v>
      </c>
      <c r="C1073" s="440" t="str">
        <f>IFERROR(LEFT(PV_DATA[[#This Row],[TCL REFERENCE]],FIND(".",PV_DATA[[#This Row],[TCL REFERENCE]],1)-1),"Main Line")</f>
        <v>26Aug014</v>
      </c>
      <c r="D1073" s="440" t="s">
        <v>113</v>
      </c>
      <c r="E1073" s="440" t="s">
        <v>144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0" t="s">
        <v>402</v>
      </c>
      <c r="H1073" s="440" t="s">
        <v>670</v>
      </c>
      <c r="I1073" s="440" t="s">
        <v>1395</v>
      </c>
      <c r="J1073" s="440" t="s">
        <v>670</v>
      </c>
      <c r="K1073" s="432" t="s">
        <v>6771</v>
      </c>
      <c r="M1073" s="431" t="s">
        <v>840</v>
      </c>
      <c r="N1073" s="462"/>
      <c r="O1073" s="432" t="s">
        <v>284</v>
      </c>
      <c r="P1073" s="431" t="s">
        <v>6788</v>
      </c>
      <c r="Q1073" s="432" t="s">
        <v>6789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485</v>
      </c>
      <c r="U1073" s="1212">
        <v>6552</v>
      </c>
      <c r="V1073" s="449">
        <f>PV_DATA[[#This Row],[QUANTITY]]*PV_DATA[[#This Row],[WATT]]/1000000</f>
        <v>3.1777199999999999</v>
      </c>
      <c r="W1073" s="467">
        <f>PV_DATA[[#This Row],[QUANTITY]]/36</f>
        <v>182</v>
      </c>
      <c r="X1073" s="1114">
        <f>PV_DATA[[#This Row],[QUANTITY]]/PV_DATA[[#This Row],[Qty/CT]]</f>
        <v>7</v>
      </c>
      <c r="Y1073" s="432" t="s">
        <v>2469</v>
      </c>
      <c r="Z1073" s="432" t="str">
        <f t="shared" si="19"/>
        <v/>
      </c>
      <c r="AA1073" s="432" t="s">
        <v>6796</v>
      </c>
      <c r="AB1073" s="442"/>
      <c r="AC1073" s="468" t="str">
        <f>IF(PV_DATA[[#This Row],[Pick-Up Date]]&lt;&gt;"",_xlfn.ISOWEEKNUM(PV_DATA[[#This Row],[Pick-Up Date]]),"")</f>
        <v/>
      </c>
      <c r="AF1073" s="432" t="s">
        <v>122</v>
      </c>
      <c r="AG1073" s="432" t="s">
        <v>122</v>
      </c>
      <c r="AH1073" s="432" t="s">
        <v>105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8" t="str">
        <f>IFERROR(IF(VLOOKUP(AT1073,Vessel!A:I,9,FALSE)=0,"",VLOOKUP(AT1073,Vessel!A:I,9,FALSE)),"")</f>
        <v/>
      </c>
      <c r="AQ1073" s="446" t="s">
        <v>80</v>
      </c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2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>
        <f>IF(ISERROR(PV_DATA[[#This Row],[New Ark PO status]]),"",_xlfn.XLOOKUP(PV_DATA[[#This Row],[SPTN-PVHK New Ark PO'#]],New_Ark_Data[Purchase order Number],New_Ark_Data[Estimated time of arrival],"",0))</f>
        <v>0</v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42">
        <f>IFERROR(PV_DATA[[#This Row],[ODP ETA Port]]+PV_DATA[[#This Row],[Customs/Leg3 Assumption]],"n/a")</f>
        <v>46339</v>
      </c>
      <c r="BB1073" s="443">
        <f>YEAR(PV_DATA[[#This Row],[ETA for New Ark update]])</f>
        <v>2026</v>
      </c>
      <c r="BC1073" s="432">
        <f>MONTH(PV_DATA[[#This Row],[ETA for New Ark update]])</f>
        <v>11</v>
      </c>
      <c r="BD1073" s="432">
        <f>IFERROR(_xlfn.ISOWEEKNUM(PV_DATA[[#This Row],[ETA for New Ark update]]),0)</f>
        <v>46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936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AEU</v>
      </c>
    </row>
    <row r="1074" spans="1:91" s="432" customFormat="1" ht="10.5" hidden="1">
      <c r="A1074" s="440" t="s">
        <v>6797</v>
      </c>
      <c r="B1074" s="440" t="s">
        <v>1757</v>
      </c>
      <c r="C1074" s="440" t="str">
        <f>IFERROR(LEFT(PV_DATA[[#This Row],[TCL REFERENCE]],FIND(".",PV_DATA[[#This Row],[TCL REFERENCE]],1)-1),"Main Line")</f>
        <v>26Aug014</v>
      </c>
      <c r="D1074" s="440" t="s">
        <v>113</v>
      </c>
      <c r="E1074" s="440" t="s">
        <v>144</v>
      </c>
      <c r="F1074" s="44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440" t="s">
        <v>402</v>
      </c>
      <c r="H1074" s="440" t="s">
        <v>670</v>
      </c>
      <c r="I1074" s="440" t="s">
        <v>1395</v>
      </c>
      <c r="J1074" s="440" t="s">
        <v>670</v>
      </c>
      <c r="K1074" s="432" t="s">
        <v>6771</v>
      </c>
      <c r="L1074" s="432">
        <v>3</v>
      </c>
      <c r="M1074" s="431" t="s">
        <v>840</v>
      </c>
      <c r="N1074" s="462"/>
      <c r="O1074" s="432" t="s">
        <v>284</v>
      </c>
      <c r="P1074" s="431" t="s">
        <v>6788</v>
      </c>
      <c r="Q1074" s="432" t="s">
        <v>6789</v>
      </c>
      <c r="R1074" s="432" t="str">
        <f>_xlfn.XLOOKUP(PV_DATA[[#This Row],[New Ark SKU]],Table9[New Ark SKU],Table9[Connector],,0)</f>
        <v>EVO2A</v>
      </c>
      <c r="S1074" s="443" t="str">
        <f>_xlfn.XLOOKUP(PV_DATA[[#This Row],[New Ark SKU]],Table9[New Ark SKU],Table9[Cable],,0)</f>
        <v>±1200mm</v>
      </c>
      <c r="T1074" s="443">
        <v>485</v>
      </c>
      <c r="U1074" s="1212">
        <v>1872</v>
      </c>
      <c r="V1074" s="449">
        <f>PV_DATA[[#This Row],[QUANTITY]]*PV_DATA[[#This Row],[WATT]]/1000000</f>
        <v>0.90791999999999995</v>
      </c>
      <c r="W1074" s="467">
        <f>PV_DATA[[#This Row],[QUANTITY]]/36</f>
        <v>52</v>
      </c>
      <c r="X1074" s="1114">
        <f>PV_DATA[[#This Row],[QUANTITY]]/PV_DATA[[#This Row],[Qty/CT]]</f>
        <v>2</v>
      </c>
      <c r="Y1074" s="432" t="s">
        <v>2469</v>
      </c>
      <c r="Z1074" s="432" t="str">
        <f>IF(AN1074&lt;&gt;"","COMPLETED",IF(AK1074&lt;&gt;"","IN-TRANSIT",""))</f>
        <v/>
      </c>
      <c r="AA1074" s="451" t="s">
        <v>6776</v>
      </c>
      <c r="AB1074" s="442">
        <v>46279</v>
      </c>
      <c r="AC1074" s="468">
        <f>IF(PV_DATA[[#This Row],[Pick-Up Date]]&lt;&gt;"",_xlfn.ISOWEEKNUM(PV_DATA[[#This Row],[Pick-Up Date]]),"")</f>
        <v>38</v>
      </c>
      <c r="AF1074" s="432" t="s">
        <v>122</v>
      </c>
      <c r="AG1074" s="432" t="s">
        <v>122</v>
      </c>
      <c r="AH1074" s="432" t="s">
        <v>105</v>
      </c>
      <c r="AI1074" s="442">
        <v>46288</v>
      </c>
      <c r="AJ1074" s="442"/>
      <c r="AK1074" s="438" t="str">
        <f>IFERROR(IF(VLOOKUP(AT1074,Vessel!A:F,5,FALSE)=0,"",VLOOKUP(AT1074,Vessel!A:F,5,FALSE)),"")</f>
        <v/>
      </c>
      <c r="AL1074" s="442">
        <v>46324</v>
      </c>
      <c r="AM1074" s="442"/>
      <c r="AN1074" s="588" t="str">
        <f>IFERROR(IF(VLOOKUP(AT1074,Vessel!A:I,9,FALSE)=0,"",VLOOKUP(AT1074,Vessel!A:I,9,FALSE)),"")</f>
        <v/>
      </c>
      <c r="AP1074" s="432" t="s">
        <v>6777</v>
      </c>
      <c r="AQ1074" s="446" t="s">
        <v>80</v>
      </c>
      <c r="AR1074" s="432" t="s">
        <v>6778</v>
      </c>
      <c r="AS1074" s="451" t="s">
        <v>6779</v>
      </c>
      <c r="AT1074" s="432" t="s">
        <v>6779</v>
      </c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74" s="442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442">
        <f>IFERROR(PV_DATA[[#This Row],[ODP ETA Port]]+PV_DATA[[#This Row],[Customs/Leg3 Assumption]],"n/a")</f>
        <v>46324</v>
      </c>
      <c r="BB1074" s="443">
        <f>YEAR(PV_DATA[[#This Row],[ETA for New Ark update]])</f>
        <v>2026</v>
      </c>
      <c r="BC1074" s="432">
        <f>MONTH(PV_DATA[[#This Row],[ETA for New Ark update]])</f>
        <v>10</v>
      </c>
      <c r="BD1074" s="432">
        <f>IFERROR(_xlfn.ISOWEEKNUM(PV_DATA[[#This Row],[ETA for New Ark update]]),0)</f>
        <v>44</v>
      </c>
      <c r="BE1074" s="432">
        <f>_xlfn.XLOOKUP(PV_DATA[[#This Row],[New Ark SKU]],Table9[New Ark SKU],Table9[Total PCS per Pallet],,0)</f>
        <v>36</v>
      </c>
      <c r="BF1074" s="432">
        <f>_xlfn.XLOOKUP(PV_DATA[[#This Row],[New Ark SKU]],Table9[New Ark SKU],Table9[Total PCS per 40HQ Container],,0)</f>
        <v>936</v>
      </c>
      <c r="BG1074" s="432" t="str">
        <f>_xlfn.XLOOKUP(PV_DATA[[#This Row],[New Ark SKU]],Table9[New Ark SKU],Table9[Back Glass],,0)</f>
        <v>Black glazing</v>
      </c>
      <c r="BH1074" s="432" t="str">
        <f>_xlfn.XLOOKUP(PV_DATA[[#This Row],[PORT DESTINATION]],Table12[PORT DESTINATION],Table12[Cosco Line],,0)</f>
        <v>AEU</v>
      </c>
    </row>
    <row r="1075" spans="1:91" s="432" customFormat="1" ht="10.5" hidden="1">
      <c r="A1075" s="730" t="s">
        <v>6798</v>
      </c>
      <c r="B1075" s="440" t="s">
        <v>1757</v>
      </c>
      <c r="C1075" s="440" t="str">
        <f>IFERROR(LEFT(PV_DATA[[#This Row],[TCL REFERENCE]],FIND(".",PV_DATA[[#This Row],[TCL REFERENCE]],1)-1),"Main Line")</f>
        <v>26Aug014</v>
      </c>
      <c r="D1075" s="440" t="s">
        <v>113</v>
      </c>
      <c r="E1075" s="440" t="s">
        <v>144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5" s="440" t="s">
        <v>402</v>
      </c>
      <c r="H1075" s="440" t="s">
        <v>670</v>
      </c>
      <c r="I1075" s="440" t="s">
        <v>1395</v>
      </c>
      <c r="J1075" s="440" t="s">
        <v>670</v>
      </c>
      <c r="K1075" s="432" t="s">
        <v>6771</v>
      </c>
      <c r="M1075" s="431" t="s">
        <v>840</v>
      </c>
      <c r="N1075" s="462"/>
      <c r="O1075" s="432" t="s">
        <v>284</v>
      </c>
      <c r="P1075" s="431" t="s">
        <v>6788</v>
      </c>
      <c r="Q1075" s="432" t="s">
        <v>6789</v>
      </c>
      <c r="R1075" s="432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±1200mm</v>
      </c>
      <c r="T1075" s="443">
        <v>485</v>
      </c>
      <c r="U1075" s="1212">
        <v>7488</v>
      </c>
      <c r="V1075" s="449">
        <f>PV_DATA[[#This Row],[QUANTITY]]*PV_DATA[[#This Row],[WATT]]/1000000</f>
        <v>3.6316799999999998</v>
      </c>
      <c r="W1075" s="467">
        <f>PV_DATA[[#This Row],[QUANTITY]]/36</f>
        <v>208</v>
      </c>
      <c r="X1075" s="1114">
        <f>PV_DATA[[#This Row],[QUANTITY]]/PV_DATA[[#This Row],[Qty/CT]]</f>
        <v>8</v>
      </c>
      <c r="Y1075" s="432" t="s">
        <v>2470</v>
      </c>
      <c r="Z1075" s="432" t="str">
        <f t="shared" ref="Z1075:Z1076" si="24">IF(AN1075&lt;&gt;"","COMPLETED",IF(AK1075&lt;&gt;"","IN-TRANSIT",""))</f>
        <v/>
      </c>
      <c r="AA1075" s="432" t="s">
        <v>6799</v>
      </c>
      <c r="AB1075" s="442"/>
      <c r="AC1075" s="468" t="str">
        <f>IF(PV_DATA[[#This Row],[Pick-Up Date]]&lt;&gt;"",_xlfn.ISOWEEKNUM(PV_DATA[[#This Row],[Pick-Up Date]]),"")</f>
        <v/>
      </c>
      <c r="AF1075" s="432" t="s">
        <v>122</v>
      </c>
      <c r="AG1075" s="432" t="s">
        <v>122</v>
      </c>
      <c r="AH1075" s="432" t="s">
        <v>105</v>
      </c>
      <c r="AI1075" s="442"/>
      <c r="AJ1075" s="442"/>
      <c r="AK1075" s="438" t="str">
        <f>IFERROR(IF(VLOOKUP(AT1075,Vessel!A:F,5,FALSE)=0,"",VLOOKUP(AT1075,Vessel!A:F,5,FALSE)),"")</f>
        <v/>
      </c>
      <c r="AL1075" s="442"/>
      <c r="AM1075" s="442"/>
      <c r="AN1075" s="588" t="str">
        <f>IFERROR(IF(VLOOKUP(AT1075,Vessel!A:I,9,FALSE)=0,"",VLOOKUP(AT1075,Vessel!A:I,9,FALSE)),"")</f>
        <v/>
      </c>
      <c r="AQ1075" s="446" t="s">
        <v>80</v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5" s="442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>
        <f>IF(ISERROR(PV_DATA[[#This Row],[New Ark PO status]]),"",_xlfn.XLOOKUP(PV_DATA[[#This Row],[SPTN-PVHK New Ark PO'#]],New_Ark_Data[Purchase order Number],New_Ark_Data[Estimated time of arrival],"",0))</f>
        <v>0</v>
      </c>
      <c r="AZ10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5" s="442">
        <f>IFERROR(PV_DATA[[#This Row],[ODP ETA Port]]+PV_DATA[[#This Row],[Customs/Leg3 Assumption]],"n/a")</f>
        <v>46346</v>
      </c>
      <c r="BB1075" s="443">
        <f>YEAR(PV_DATA[[#This Row],[ETA for New Ark update]])</f>
        <v>2026</v>
      </c>
      <c r="BC1075" s="432">
        <f>MONTH(PV_DATA[[#This Row],[ETA for New Ark update]])</f>
        <v>11</v>
      </c>
      <c r="BD1075" s="432">
        <f>IFERROR(_xlfn.ISOWEEKNUM(PV_DATA[[#This Row],[ETA for New Ark update]]),0)</f>
        <v>47</v>
      </c>
      <c r="BE1075" s="432">
        <f>_xlfn.XLOOKUP(PV_DATA[[#This Row],[New Ark SKU]],Table9[New Ark SKU],Table9[Total PCS per Pallet],,0)</f>
        <v>36</v>
      </c>
      <c r="BF1075" s="432">
        <f>_xlfn.XLOOKUP(PV_DATA[[#This Row],[New Ark SKU]],Table9[New Ark SKU],Table9[Total PCS per 40HQ Container],,0)</f>
        <v>936</v>
      </c>
      <c r="BG1075" s="432" t="str">
        <f>_xlfn.XLOOKUP(PV_DATA[[#This Row],[New Ark SKU]],Table9[New Ark SKU],Table9[Back Glass],,0)</f>
        <v>Black glazing</v>
      </c>
      <c r="BH1075" s="624" t="str">
        <f>_xlfn.XLOOKUP(PV_DATA[[#This Row],[PORT DESTINATION]],Table12[PORT DESTINATION],Table12[Cosco Line],,0)</f>
        <v>AEU</v>
      </c>
      <c r="BI1075" s="860"/>
      <c r="BJ1075" s="860"/>
      <c r="BK1075" s="860"/>
      <c r="BL1075" s="860"/>
      <c r="BM1075" s="860"/>
      <c r="BN1075" s="860"/>
      <c r="BO1075" s="860"/>
      <c r="BP1075" s="860"/>
      <c r="BQ1075" s="860"/>
      <c r="BR1075" s="860"/>
      <c r="BS1075" s="860"/>
      <c r="BT1075" s="860"/>
      <c r="BU1075" s="860"/>
      <c r="BV1075" s="860"/>
      <c r="BW1075" s="860"/>
      <c r="BX1075" s="860"/>
      <c r="BY1075" s="860"/>
      <c r="BZ1075" s="860"/>
      <c r="CA1075" s="860"/>
      <c r="CB1075" s="860"/>
      <c r="CC1075" s="860"/>
      <c r="CD1075" s="860"/>
      <c r="CE1075" s="860"/>
      <c r="CF1075" s="860"/>
      <c r="CG1075" s="860"/>
      <c r="CH1075" s="860"/>
      <c r="CI1075" s="860"/>
      <c r="CJ1075" s="860"/>
      <c r="CK1075" s="860"/>
      <c r="CL1075" s="860"/>
      <c r="CM1075" s="860"/>
    </row>
    <row r="1076" spans="1:91" s="432" customFormat="1" ht="10.5" hidden="1">
      <c r="A1076" s="440" t="s">
        <v>6800</v>
      </c>
      <c r="B1076" s="440" t="s">
        <v>1757</v>
      </c>
      <c r="C1076" s="440" t="str">
        <f>IFERROR(LEFT(PV_DATA[[#This Row],[TCL REFERENCE]],FIND(".",PV_DATA[[#This Row],[TCL REFERENCE]],1)-1),"Main Line")</f>
        <v>26Aug014</v>
      </c>
      <c r="D1076" s="440" t="s">
        <v>113</v>
      </c>
      <c r="E1076" s="440" t="s">
        <v>144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40" t="s">
        <v>402</v>
      </c>
      <c r="H1076" s="440" t="s">
        <v>670</v>
      </c>
      <c r="I1076" s="440" t="s">
        <v>1395</v>
      </c>
      <c r="J1076" s="440" t="s">
        <v>670</v>
      </c>
      <c r="K1076" s="432" t="s">
        <v>6771</v>
      </c>
      <c r="M1076" s="431" t="s">
        <v>840</v>
      </c>
      <c r="N1076" s="462"/>
      <c r="O1076" s="432" t="s">
        <v>284</v>
      </c>
      <c r="P1076" s="431" t="s">
        <v>6788</v>
      </c>
      <c r="Q1076" s="432" t="s">
        <v>6789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±1200mm</v>
      </c>
      <c r="T1076" s="443">
        <v>485</v>
      </c>
      <c r="U1076" s="1212">
        <v>5616</v>
      </c>
      <c r="V1076" s="449">
        <f>PV_DATA[[#This Row],[QUANTITY]]*PV_DATA[[#This Row],[WATT]]/1000000</f>
        <v>2.72376</v>
      </c>
      <c r="W1076" s="467">
        <f>PV_DATA[[#This Row],[QUANTITY]]/36</f>
        <v>156</v>
      </c>
      <c r="X1076" s="1114">
        <f>PV_DATA[[#This Row],[QUANTITY]]/PV_DATA[[#This Row],[Qty/CT]]</f>
        <v>6</v>
      </c>
      <c r="Y1076" s="432" t="s">
        <v>2470</v>
      </c>
      <c r="Z1076" s="432" t="str">
        <f t="shared" si="24"/>
        <v/>
      </c>
      <c r="AA1076" s="432" t="s">
        <v>6801</v>
      </c>
      <c r="AB1076" s="442"/>
      <c r="AC1076" s="468" t="str">
        <f>IF(PV_DATA[[#This Row],[Pick-Up Date]]&lt;&gt;"",_xlfn.ISOWEEKNUM(PV_DATA[[#This Row],[Pick-Up Date]]),"")</f>
        <v/>
      </c>
      <c r="AF1076" s="432" t="s">
        <v>122</v>
      </c>
      <c r="AG1076" s="432" t="s">
        <v>122</v>
      </c>
      <c r="AH1076" s="432" t="s">
        <v>105</v>
      </c>
      <c r="AI1076" s="442"/>
      <c r="AJ1076" s="442"/>
      <c r="AK1076" s="438" t="str">
        <f>IFERROR(IF(VLOOKUP(AT1076,Vessel!A:F,5,FALSE)=0,"",VLOOKUP(AT1076,Vessel!A:F,5,FALSE)),"")</f>
        <v/>
      </c>
      <c r="AL1076" s="442"/>
      <c r="AM1076" s="442"/>
      <c r="AN1076" s="588" t="str">
        <f>IFERROR(IF(VLOOKUP(AT1076,Vessel!A:I,9,FALSE)=0,"",VLOOKUP(AT1076,Vessel!A:I,9,FALSE)),"")</f>
        <v/>
      </c>
      <c r="AQ1076" s="446" t="s">
        <v>80</v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6" s="442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>
        <f>IF(ISERROR(PV_DATA[[#This Row],[New Ark PO status]]),"",_xlfn.XLOOKUP(PV_DATA[[#This Row],[SPTN-PVHK New Ark PO'#]],New_Ark_Data[Purchase order Number],New_Ark_Data[Estimated time of arrival],"",0))</f>
        <v>0</v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442">
        <f>IFERROR(PV_DATA[[#This Row],[ODP ETA Port]]+PV_DATA[[#This Row],[Customs/Leg3 Assumption]],"n/a")</f>
        <v>46346</v>
      </c>
      <c r="BB1076" s="443">
        <f>YEAR(PV_DATA[[#This Row],[ETA for New Ark update]])</f>
        <v>2026</v>
      </c>
      <c r="BC1076" s="432">
        <f>MONTH(PV_DATA[[#This Row],[ETA for New Ark update]])</f>
        <v>11</v>
      </c>
      <c r="BD1076" s="432">
        <f>IFERROR(_xlfn.ISOWEEKNUM(PV_DATA[[#This Row],[ETA for New Ark update]]),0)</f>
        <v>47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936</v>
      </c>
      <c r="BG1076" s="432" t="str">
        <f>_xlfn.XLOOKUP(PV_DATA[[#This Row],[New Ark SKU]],Table9[New Ark SKU],Table9[Back Glass],,0)</f>
        <v>Black glazing</v>
      </c>
      <c r="BH1076" s="432" t="str">
        <f>_xlfn.XLOOKUP(PV_DATA[[#This Row],[PORT DESTINATION]],Table12[PORT DESTINATION],Table12[Cosco Line],,0)</f>
        <v>AEU</v>
      </c>
    </row>
    <row r="1077" spans="1:91" s="432" customFormat="1" ht="10.5" hidden="1">
      <c r="A1077" s="440" t="s">
        <v>6802</v>
      </c>
      <c r="B1077" s="440" t="s">
        <v>1757</v>
      </c>
      <c r="C1077" s="440" t="str">
        <f>IFERROR(LEFT(PV_DATA[[#This Row],[TCL REFERENCE]],FIND(".",PV_DATA[[#This Row],[TCL REFERENCE]],1)-1),"Main Line")</f>
        <v>26Aug014</v>
      </c>
      <c r="D1077" s="440" t="s">
        <v>113</v>
      </c>
      <c r="E1077" s="440" t="s">
        <v>144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40" t="s">
        <v>402</v>
      </c>
      <c r="H1077" s="440" t="s">
        <v>670</v>
      </c>
      <c r="I1077" s="440" t="s">
        <v>1395</v>
      </c>
      <c r="J1077" s="440" t="s">
        <v>670</v>
      </c>
      <c r="K1077" s="432" t="s">
        <v>6771</v>
      </c>
      <c r="M1077" s="431" t="s">
        <v>840</v>
      </c>
      <c r="N1077" s="462"/>
      <c r="O1077" s="432" t="s">
        <v>284</v>
      </c>
      <c r="P1077" s="431" t="s">
        <v>6788</v>
      </c>
      <c r="Q1077" s="432" t="s">
        <v>6789</v>
      </c>
      <c r="R1077" s="432" t="str">
        <f>_xlfn.XLOOKUP(PV_DATA[[#This Row],[New Ark SKU]],Table9[New Ark SKU],Table9[Connector],,0)</f>
        <v>EVO2A</v>
      </c>
      <c r="S1077" s="443" t="str">
        <f>_xlfn.XLOOKUP(PV_DATA[[#This Row],[New Ark SKU]],Table9[New Ark SKU],Table9[Cable],,0)</f>
        <v>±1200mm</v>
      </c>
      <c r="T1077" s="443">
        <v>485</v>
      </c>
      <c r="U1077" s="1212">
        <v>8424</v>
      </c>
      <c r="V1077" s="449">
        <f>PV_DATA[[#This Row],[QUANTITY]]*PV_DATA[[#This Row],[WATT]]/1000000</f>
        <v>4.0856399999999997</v>
      </c>
      <c r="W1077" s="467">
        <f>PV_DATA[[#This Row],[QUANTITY]]/36</f>
        <v>234</v>
      </c>
      <c r="X1077" s="1114">
        <f>PV_DATA[[#This Row],[QUANTITY]]/PV_DATA[[#This Row],[Qty/CT]]</f>
        <v>9</v>
      </c>
      <c r="Y1077" s="432" t="s">
        <v>2471</v>
      </c>
      <c r="Z1077" s="432" t="str">
        <f>IF(AN1077&lt;&gt;"","COMPLETED",IF(AK1077&lt;&gt;"","IN-TRANSIT",""))</f>
        <v/>
      </c>
      <c r="AA1077" s="432" t="s">
        <v>6803</v>
      </c>
      <c r="AB1077" s="442"/>
      <c r="AC1077" s="468" t="str">
        <f>IF(PV_DATA[[#This Row],[Pick-Up Date]]&lt;&gt;"",_xlfn.ISOWEEKNUM(PV_DATA[[#This Row],[Pick-Up Date]]),"")</f>
        <v/>
      </c>
      <c r="AF1077" s="432" t="s">
        <v>122</v>
      </c>
      <c r="AG1077" s="432" t="s">
        <v>122</v>
      </c>
      <c r="AH1077" s="432" t="s">
        <v>105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8" t="str">
        <f>IFERROR(IF(VLOOKUP(AT1077,Vessel!A:I,9,FALSE)=0,"",VLOOKUP(AT1077,Vessel!A:I,9,FALSE)),"")</f>
        <v/>
      </c>
      <c r="AQ1077" s="446" t="s">
        <v>80</v>
      </c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7" s="442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>
        <f>IF(ISERROR(PV_DATA[[#This Row],[New Ark PO status]]),"",_xlfn.XLOOKUP(PV_DATA[[#This Row],[SPTN-PVHK New Ark PO'#]],New_Ark_Data[Purchase order Number],New_Ark_Data[Estimated time of arrival],"",0))</f>
        <v>0</v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442">
        <f>IFERROR(PV_DATA[[#This Row],[ODP ETA Port]]+PV_DATA[[#This Row],[Customs/Leg3 Assumption]],"n/a")</f>
        <v>46353</v>
      </c>
      <c r="BB1077" s="443">
        <f>YEAR(PV_DATA[[#This Row],[ETA for New Ark update]])</f>
        <v>2026</v>
      </c>
      <c r="BC1077" s="432">
        <f>MONTH(PV_DATA[[#This Row],[ETA for New Ark update]])</f>
        <v>11</v>
      </c>
      <c r="BD1077" s="432">
        <f>IFERROR(_xlfn.ISOWEEKNUM(PV_DATA[[#This Row],[ETA for New Ark update]]),0)</f>
        <v>48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936</v>
      </c>
      <c r="BG1077" s="432" t="str">
        <f>_xlfn.XLOOKUP(PV_DATA[[#This Row],[New Ark SKU]],Table9[New Ark SKU],Table9[Back Glass],,0)</f>
        <v>Black glazing</v>
      </c>
      <c r="BH1077" s="432" t="str">
        <f>_xlfn.XLOOKUP(PV_DATA[[#This Row],[PORT DESTINATION]],Table12[PORT DESTINATION],Table12[Cosco Line],,0)</f>
        <v>AEU</v>
      </c>
    </row>
    <row r="1078" spans="1:91" s="476" customFormat="1" ht="10.5" hidden="1">
      <c r="A1078" s="730" t="s">
        <v>6804</v>
      </c>
      <c r="B1078" s="440" t="s">
        <v>111</v>
      </c>
      <c r="C1078" s="440" t="str">
        <f>IFERROR(LEFT(PV_DATA[[#This Row],[TCL REFERENCE]],FIND(".",PV_DATA[[#This Row],[TCL REFERENCE]],1)-1),"Main Line")</f>
        <v>26Aug001</v>
      </c>
      <c r="D1078" s="440" t="s">
        <v>63</v>
      </c>
      <c r="E1078" s="440" t="s">
        <v>64</v>
      </c>
      <c r="F1078" s="440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8" s="440" t="s">
        <v>402</v>
      </c>
      <c r="H1078" s="440" t="s">
        <v>67</v>
      </c>
      <c r="I1078" s="440" t="s">
        <v>689</v>
      </c>
      <c r="J1078" s="432" t="s">
        <v>96</v>
      </c>
      <c r="K1078" s="432"/>
      <c r="L1078" s="432"/>
      <c r="M1078" s="432" t="s">
        <v>68</v>
      </c>
      <c r="N1078" s="462">
        <v>46215</v>
      </c>
      <c r="O1078" s="432" t="s">
        <v>550</v>
      </c>
      <c r="P1078" s="432" t="s">
        <v>551</v>
      </c>
      <c r="Q1078" s="432" t="s">
        <v>2151</v>
      </c>
      <c r="R1078" s="432" t="str">
        <f>_xlfn.XLOOKUP(PV_DATA[[#This Row],[New Ark SKU]],Table9[New Ark SKU],Table9[Connector],,0)</f>
        <v>EVO2A</v>
      </c>
      <c r="S1078" s="443" t="str">
        <f>_xlfn.XLOOKUP(PV_DATA[[#This Row],[New Ark SKU]],Table9[New Ark SKU],Table9[Cable],,0)</f>
        <v>±1350mm</v>
      </c>
      <c r="T1078" s="443">
        <v>510</v>
      </c>
      <c r="U1078" s="1212">
        <v>792</v>
      </c>
      <c r="V1078" s="445">
        <f>PV_DATA[[#This Row],[QUANTITY]]*PV_DATA[[#This Row],[WATT]]/1000000</f>
        <v>0.40392</v>
      </c>
      <c r="W1078" s="467">
        <f>PV_DATA[[#This Row],[QUANTITY]]/PV_DATA[[#This Row],[Qty/Pallet]]</f>
        <v>22</v>
      </c>
      <c r="X1078" s="1114">
        <f>PV_DATA[[#This Row],[QUANTITY]]/PV_DATA[[#This Row],[Qty/CT]]</f>
        <v>1</v>
      </c>
      <c r="Y1078" s="432" t="s">
        <v>2465</v>
      </c>
      <c r="Z1078" s="432" t="str">
        <f t="shared" ref="Z1078" si="25">IF(AN1078&lt;&gt;"","COMPLETED",IF(AK1078&lt;&gt;"","IN-TRANSIT",""))</f>
        <v/>
      </c>
      <c r="AA1078" s="663">
        <v>46283</v>
      </c>
      <c r="AB1078" s="442"/>
      <c r="AC1078" s="468" t="str">
        <f>IF(PV_DATA[[#This Row],[Pick-Up Date]]&lt;&gt;"",_xlfn.ISOWEEKNUM(PV_DATA[[#This Row],[Pick-Up Date]]),"")</f>
        <v/>
      </c>
      <c r="AD1078" s="432"/>
      <c r="AE1078" s="432"/>
      <c r="AF1078" s="432" t="s">
        <v>122</v>
      </c>
      <c r="AG1078" s="432" t="s">
        <v>123</v>
      </c>
      <c r="AH1078" s="432" t="s">
        <v>78</v>
      </c>
      <c r="AI1078" s="442"/>
      <c r="AJ1078" s="442"/>
      <c r="AK1078" s="442"/>
      <c r="AL1078" s="442"/>
      <c r="AM1078" s="442"/>
      <c r="AN1078" s="442"/>
      <c r="AO1078" s="432"/>
      <c r="AP1078" s="432"/>
      <c r="AQ1078" s="432"/>
      <c r="AR1078" s="432"/>
      <c r="AS1078" s="432"/>
      <c r="AT1078" s="432"/>
      <c r="AU10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2"/>
      <c r="AW1078" s="442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>
        <f>IF(ISERROR(PV_DATA[[#This Row],[New Ark PO status]]),"",_xlfn.XLOOKUP(PV_DATA[[#This Row],[SPTN-PVHK New Ark PO'#]],New_Ark_Data[Purchase order Number],New_Ark_Data[Estimated time of arrival],"",0))</f>
        <v>0</v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8" s="442">
        <f>IFERROR(PV_DATA[[#This Row],[ODP ETA Port]]+PV_DATA[[#This Row],[Customs/Leg3 Assumption]],"n/a")</f>
        <v>46323</v>
      </c>
      <c r="BB1078" s="443">
        <f>YEAR(PV_DATA[[#This Row],[ETA for New Ark update]])</f>
        <v>2026</v>
      </c>
      <c r="BC1078" s="432">
        <f>MONTH(PV_DATA[[#This Row],[ETA for New Ark update]])</f>
        <v>10</v>
      </c>
      <c r="BD1078" s="432">
        <f>IFERROR(_xlfn.ISOWEEKNUM(PV_DATA[[#This Row],[ETA for New Ark update]]),0)</f>
        <v>44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792</v>
      </c>
      <c r="BG1078" s="432" t="str">
        <f>_xlfn.XLOOKUP(PV_DATA[[#This Row],[New Ark SKU]],Table9[New Ark SKU],Table9[Back Glass],,0)</f>
        <v>Black glazing</v>
      </c>
      <c r="BH1078" s="432" t="str">
        <f>_xlfn.XLOOKUP(PV_DATA[[#This Row],[PORT DESTINATION]],Table12[PORT DESTINATION],Table12[Cosco Line],,0)</f>
        <v>AEM</v>
      </c>
    </row>
    <row r="1079" spans="1:91" s="432" customFormat="1" ht="10.5" hidden="1">
      <c r="A1079" s="730" t="s">
        <v>6805</v>
      </c>
      <c r="B1079" s="728" t="s">
        <v>61</v>
      </c>
      <c r="C1079" s="728" t="str">
        <f>IFERROR(LEFT(PV_DATA[[#This Row],[TCL REFERENCE]],FIND(".",PV_DATA[[#This Row],[TCL REFERENCE]],1)-1),"Main Line")</f>
        <v>26Jun021</v>
      </c>
      <c r="D1079" s="440" t="s">
        <v>63</v>
      </c>
      <c r="E1079" s="440" t="s">
        <v>64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40" t="s">
        <v>402</v>
      </c>
      <c r="H1079" s="440" t="s">
        <v>67</v>
      </c>
      <c r="I1079" s="440" t="s">
        <v>689</v>
      </c>
      <c r="J1079" s="432" t="s">
        <v>96</v>
      </c>
      <c r="M1079" s="432" t="s">
        <v>6273</v>
      </c>
      <c r="N1079" s="462">
        <v>46202</v>
      </c>
      <c r="O1079" s="621" t="s">
        <v>284</v>
      </c>
      <c r="P1079" s="1030" t="s">
        <v>6157</v>
      </c>
      <c r="Q1079" s="621" t="s">
        <v>1570</v>
      </c>
      <c r="R1079" s="621" t="str">
        <f>_xlfn.XLOOKUP(PV_DATA[[#This Row],[New Ark SKU]],Table9[New Ark SKU],Table9[Connector],,0)</f>
        <v>EVO2A</v>
      </c>
      <c r="S1079" s="443" t="str">
        <f>_xlfn.XLOOKUP(PV_DATA[[#This Row],[New Ark SKU]],Table9[New Ark SKU],Table9[Cable],,0)</f>
        <v>±1400mm</v>
      </c>
      <c r="T1079" s="622">
        <v>650</v>
      </c>
      <c r="U1079" s="1212">
        <f>720*8</f>
        <v>5760</v>
      </c>
      <c r="V1079" s="626">
        <f>PV_DATA[[#This Row],[QUANTITY]]*PV_DATA[[#This Row],[WATT]]/1000000</f>
        <v>3.7440000000000002</v>
      </c>
      <c r="W1079" s="627">
        <f>PV_DATA[[#This Row],[QUANTITY]]/PV_DATA[[#This Row],[Qty/Pallet]]</f>
        <v>160</v>
      </c>
      <c r="X1079" s="1114">
        <f>PV_DATA[[#This Row],[QUANTITY]]/PV_DATA[[#This Row],[Qty/CT]]</f>
        <v>8</v>
      </c>
      <c r="Y1079" s="432" t="s">
        <v>2467</v>
      </c>
      <c r="Z1079" s="432" t="str">
        <f t="shared" si="19"/>
        <v/>
      </c>
      <c r="AA1079" s="954" t="s">
        <v>6806</v>
      </c>
      <c r="AB1079" s="442">
        <v>46268</v>
      </c>
      <c r="AC1079" s="629">
        <f>IF(PV_DATA[[#This Row],[Pick-Up Date]]&lt;&gt;"",_xlfn.ISOWEEKNUM(PV_DATA[[#This Row],[Pick-Up Date]]),"")</f>
        <v>36</v>
      </c>
      <c r="AD1079" s="621" t="s">
        <v>6807</v>
      </c>
      <c r="AE1079" s="621"/>
      <c r="AF1079" s="621" t="s">
        <v>61</v>
      </c>
      <c r="AG1079" s="621" t="s">
        <v>61</v>
      </c>
      <c r="AH1079" s="432" t="s">
        <v>105</v>
      </c>
      <c r="AI1079" s="620">
        <v>46276</v>
      </c>
      <c r="AJ1079" s="442"/>
      <c r="AK1079" s="442"/>
      <c r="AL1079" s="620">
        <v>46321</v>
      </c>
      <c r="AM1079" s="588"/>
      <c r="AN1079" s="588"/>
      <c r="AO1079" s="432" t="s">
        <v>402</v>
      </c>
      <c r="AP1079" s="432" t="s">
        <v>6699</v>
      </c>
      <c r="AQ1079" s="1126" t="s">
        <v>80</v>
      </c>
      <c r="AR1079" s="432" t="s">
        <v>6808</v>
      </c>
      <c r="AS1079" s="432" t="s">
        <v>6809</v>
      </c>
      <c r="AT1079" s="432" t="s">
        <v>6809</v>
      </c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79" s="621"/>
      <c r="AW1079" s="62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628" t="str">
        <f>IF(ISERROR(PV_DATA[[#This Row],[New Ark PO status]]),"",_xlfn.XLOOKUP(PV_DATA[[#This Row],[SPTN-PVHK New Ark PO'#]],New_Ark_Data[Purchase order Number],New_Ark_Data[Estimated time of arrival],"",0))</f>
        <v/>
      </c>
      <c r="AZ1079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628">
        <f>IFERROR(PV_DATA[[#This Row],[ODP ETA Port]]+PV_DATA[[#This Row],[Customs/Leg3 Assumption]],"n/a")</f>
        <v>46328</v>
      </c>
      <c r="BB1079" s="622">
        <f>YEAR(PV_DATA[[#This Row],[ETA for New Ark update]])</f>
        <v>2026</v>
      </c>
      <c r="BC1079" s="621">
        <f>MONTH(PV_DATA[[#This Row],[ETA for New Ark update]])</f>
        <v>11</v>
      </c>
      <c r="BD1079" s="621">
        <f>IFERROR(_xlfn.ISOWEEKNUM(PV_DATA[[#This Row],[ETA for New Ark update]]),0)</f>
        <v>45</v>
      </c>
      <c r="BE1079" s="621">
        <f>_xlfn.XLOOKUP(PV_DATA[[#This Row],[New Ark SKU]],Table9[New Ark SKU],Table9[Total PCS per Pallet],,0)</f>
        <v>36</v>
      </c>
      <c r="BF1079" s="621">
        <f>_xlfn.XLOOKUP(PV_DATA[[#This Row],[New Ark SKU]],Table9[New Ark SKU],Table9[Total PCS per 40HQ Container],,0)</f>
        <v>720</v>
      </c>
      <c r="BG1079" s="432" t="str">
        <f>_xlfn.XLOOKUP(PV_DATA[[#This Row],[New Ark SKU]],Table9[New Ark SKU],Table9[Back Glass],,0)</f>
        <v>White glazing</v>
      </c>
      <c r="BH1079" s="631" t="str">
        <f>_xlfn.XLOOKUP(PV_DATA[[#This Row],[PORT DESTINATION]],Table12[PORT DESTINATION],Table12[Cosco Line],,0)</f>
        <v>AEU</v>
      </c>
    </row>
    <row r="1080" spans="1:91" ht="10.5" hidden="1">
      <c r="A1080" s="448" t="s">
        <v>6810</v>
      </c>
      <c r="B1080" s="440" t="s">
        <v>61</v>
      </c>
      <c r="C1080" s="440" t="str">
        <f>IFERROR(LEFT(PV_DATA[[#This Row],[TCL REFERENCE]],FIND(".",PV_DATA[[#This Row],[TCL REFERENCE]],1)-1),"Main Line")</f>
        <v>26Jun021</v>
      </c>
      <c r="D1080" s="440" t="s">
        <v>63</v>
      </c>
      <c r="E1080" s="440" t="s">
        <v>64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0" s="440" t="s">
        <v>402</v>
      </c>
      <c r="H1080" s="440" t="s">
        <v>67</v>
      </c>
      <c r="I1080" s="440" t="s">
        <v>689</v>
      </c>
      <c r="J1080" s="432" t="s">
        <v>96</v>
      </c>
      <c r="K1080" s="432"/>
      <c r="L1080" s="432"/>
      <c r="M1080" s="431" t="s">
        <v>6273</v>
      </c>
      <c r="N1080" s="462">
        <v>46202</v>
      </c>
      <c r="O1080" s="432" t="s">
        <v>284</v>
      </c>
      <c r="P1080" s="486" t="s">
        <v>6157</v>
      </c>
      <c r="Q1080" s="432" t="s">
        <v>1570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±1400mm</v>
      </c>
      <c r="T1080" s="443">
        <v>650</v>
      </c>
      <c r="U1080" s="1212">
        <f>720*8</f>
        <v>5760</v>
      </c>
      <c r="V1080" s="449">
        <f>PV_DATA[[#This Row],[QUANTITY]]*PV_DATA[[#This Row],[WATT]]/1000000</f>
        <v>3.7440000000000002</v>
      </c>
      <c r="W1080" s="467">
        <f>PV_DATA[[#This Row],[QUANTITY]]/PV_DATA[[#This Row],[Qty/Pallet]]</f>
        <v>160</v>
      </c>
      <c r="X1080" s="1114">
        <f>PV_DATA[[#This Row],[QUANTITY]]/PV_DATA[[#This Row],[Qty/CT]]</f>
        <v>8</v>
      </c>
      <c r="Y1080" s="432" t="s">
        <v>2467</v>
      </c>
      <c r="Z1080" s="431" t="str">
        <f>IF(AN1080&lt;&gt;"","COMPLETED",IF(AK1080&lt;&gt;"","IN-TRANSIT",""))</f>
        <v/>
      </c>
      <c r="AA1080" s="954" t="s">
        <v>6806</v>
      </c>
      <c r="AB1080" s="442">
        <v>46269</v>
      </c>
      <c r="AC1080" s="468">
        <f>IF(PV_DATA[[#This Row],[Pick-Up Date]]&lt;&gt;"",_xlfn.ISOWEEKNUM(PV_DATA[[#This Row],[Pick-Up Date]]),"")</f>
        <v>36</v>
      </c>
      <c r="AD1080" s="432" t="s">
        <v>6811</v>
      </c>
      <c r="AE1080" s="432"/>
      <c r="AF1080" s="432" t="s">
        <v>61</v>
      </c>
      <c r="AG1080" s="432" t="s">
        <v>61</v>
      </c>
      <c r="AH1080" s="432" t="s">
        <v>105</v>
      </c>
      <c r="AI1080" s="620">
        <v>46276</v>
      </c>
      <c r="AJ1080" s="442"/>
      <c r="AK1080" s="442"/>
      <c r="AL1080" s="620">
        <v>46321</v>
      </c>
      <c r="AM1080" s="620"/>
      <c r="AN1080" s="588" t="str">
        <f>IFERROR(IF(VLOOKUP(AT1080,Vessel!A:I,9,FALSE)=0,"",VLOOKUP(AT1080,Vessel!A:I,9,FALSE)),"")</f>
        <v/>
      </c>
      <c r="AO1080" s="432" t="s">
        <v>402</v>
      </c>
      <c r="AP1080" s="432" t="s">
        <v>6699</v>
      </c>
      <c r="AQ1080" s="1126" t="s">
        <v>80</v>
      </c>
      <c r="AR1080" s="432" t="s">
        <v>6812</v>
      </c>
      <c r="AS1080" s="432" t="s">
        <v>6813</v>
      </c>
      <c r="AT1080" s="432" t="s">
        <v>6813</v>
      </c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80" s="432"/>
      <c r="AW1080" s="442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 t="str">
        <f>IF(ISERROR(PV_DATA[[#This Row],[New Ark PO status]]),"",_xlfn.XLOOKUP(PV_DATA[[#This Row],[SPTN-PVHK New Ark PO'#]],New_Ark_Data[Purchase order Number],New_Ark_Data[Estimated time of arrival],"",0))</f>
        <v/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0" s="442">
        <f>IFERROR(PV_DATA[[#This Row],[ODP ETA Port]]+PV_DATA[[#This Row],[Customs/Leg3 Assumption]],"n/a")</f>
        <v>46328</v>
      </c>
      <c r="BB1080" s="443">
        <f>YEAR(PV_DATA[[#This Row],[ETA for New Ark update]])</f>
        <v>2026</v>
      </c>
      <c r="BC1080" s="432">
        <f>MONTH(PV_DATA[[#This Row],[ETA for New Ark update]])</f>
        <v>11</v>
      </c>
      <c r="BD1080" s="432">
        <f>IFERROR(_xlfn.ISOWEEKNUM(PV_DATA[[#This Row],[ETA for New Ark update]]),0)</f>
        <v>45</v>
      </c>
      <c r="BE1080" s="432">
        <f>_xlfn.XLOOKUP(PV_DATA[[#This Row],[New Ark SKU]],Table9[New Ark SKU],Table9[Total PCS per Pallet],,0)</f>
        <v>36</v>
      </c>
      <c r="BF1080" s="432">
        <f>_xlfn.XLOOKUP(PV_DATA[[#This Row],[New Ark SKU]],Table9[New Ark SKU],Table9[Total PCS per 40HQ Container],,0)</f>
        <v>720</v>
      </c>
      <c r="BG1080" s="432" t="str">
        <f>_xlfn.XLOOKUP(PV_DATA[[#This Row],[New Ark SKU]],Table9[New Ark SKU],Table9[Back Glass],,0)</f>
        <v>White glazing</v>
      </c>
      <c r="BH1080" s="432" t="str">
        <f>_xlfn.XLOOKUP(PV_DATA[[#This Row],[PORT DESTINATION]],Table12[PORT DESTINATION],Table12[Cosco Line],,0)</f>
        <v>AEU</v>
      </c>
      <c r="BJ1080" s="431"/>
    </row>
    <row r="1081" spans="1:91" s="432" customFormat="1" ht="10.5" hidden="1">
      <c r="A1081" s="440" t="s">
        <v>5061</v>
      </c>
      <c r="B1081" s="440" t="s">
        <v>111</v>
      </c>
      <c r="C1081" s="440" t="str">
        <f>IFERROR(LEFT(PV_DATA[[#This Row],[TCL REFERENCE]],FIND(".",PV_DATA[[#This Row],[TCL REFERENCE]],1)-1),"Main Line")</f>
        <v>Main Line</v>
      </c>
      <c r="D1081" s="440" t="s">
        <v>63</v>
      </c>
      <c r="E1081" s="440" t="s">
        <v>68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M1081" s="431" t="s">
        <v>6273</v>
      </c>
      <c r="N1081" s="462">
        <v>46167</v>
      </c>
      <c r="O1081" s="432" t="s">
        <v>4526</v>
      </c>
      <c r="P1081" s="432" t="s">
        <v>4587</v>
      </c>
      <c r="Q1081" s="432" t="s">
        <v>330</v>
      </c>
      <c r="R1081" s="432" t="str">
        <f>_xlfn.XLOOKUP(PV_DATA[[#This Row],[New Ark SKU]],Table9[New Ark SKU],Table9[Connector],,0)</f>
        <v>H4(Com)</v>
      </c>
      <c r="S1081" s="443" t="str">
        <f>_xlfn.XLOOKUP(PV_DATA[[#This Row],[New Ark SKU]],Table9[New Ark SKU],Table9[Cable],,0)</f>
        <v>+400mm/-200mm</v>
      </c>
      <c r="T1081" s="443">
        <v>625</v>
      </c>
      <c r="U1081" s="1212" cm="1">
        <f t="array" ref="U1081">56160-fx_qty</f>
        <v>0</v>
      </c>
      <c r="V1081" s="445">
        <f>PV_DATA[[#This Row],[QUANTITY]]*PV_DATA[[#This Row],[WATT]]/1000000</f>
        <v>0</v>
      </c>
      <c r="W1081" s="467">
        <f>PV_DATA[[#This Row],[QUANTITY]]/PV_DATA[[#This Row],[Qty/Pallet]]</f>
        <v>0</v>
      </c>
      <c r="X1081" s="1114">
        <f>PV_DATA[[#This Row],[QUANTITY]]/PV_DATA[[#This Row],[Qty/CT]]</f>
        <v>0</v>
      </c>
      <c r="Y1081" s="432" t="s">
        <v>6650</v>
      </c>
      <c r="Z1081" s="432" t="str">
        <f t="shared" si="19"/>
        <v/>
      </c>
      <c r="AB1081" s="442"/>
      <c r="AC1081" s="468" t="str">
        <f>IF(PV_DATA[[#This Row],[Pick-Up Date]]&lt;&gt;"",_xlfn.ISOWEEKNUM(PV_DATA[[#This Row],[Pick-Up Date]]),"")</f>
        <v/>
      </c>
      <c r="AF1081" s="432" t="s">
        <v>122</v>
      </c>
      <c r="AG1081" s="432" t="s">
        <v>123</v>
      </c>
      <c r="AH1081" s="432" t="s">
        <v>68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8" t="str">
        <f>IFERROR(IF(VLOOKUP(AT1081,Vessel!A:I,9,FALSE)=0,"",VLOOKUP(AT1081,Vessel!A:I,9,FALSE)),"")</f>
        <v/>
      </c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 t="str">
        <f>IF(ISERROR(PV_DATA[[#This Row],[New Ark PO status]]),"",_xlfn.XLOOKUP(PV_DATA[[#This Row],[SPTN-PVHK New Ark PO'#]],New_Ark_Data[Purchase order Number],New_Ark_Data[Estimated time of arrival],"",0))</f>
        <v/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2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36</v>
      </c>
      <c r="BF1081" s="432">
        <f>_xlfn.XLOOKUP(PV_DATA[[#This Row],[New Ark SKU]],Table9[New Ark SKU],Table9[Total PCS per 40HQ Container],,0)</f>
        <v>720</v>
      </c>
      <c r="BG1081" s="432" t="str">
        <f>_xlfn.XLOOKUP(PV_DATA[[#This Row],[New Ark SKU]],Table9[New Ark SKU],Table9[Back Glass],,0)</f>
        <v>Transparent</v>
      </c>
      <c r="BH1081" s="432" t="str">
        <f>_xlfn.XLOOKUP(PV_DATA[[#This Row],[PORT DESTINATION]],Table12[PORT DESTINATION],Table12[Cosco Line],,0)</f>
        <v>n/a</v>
      </c>
    </row>
    <row r="1082" spans="1:91" s="432" customFormat="1" ht="10.5" hidden="1">
      <c r="A1082" s="440" t="s">
        <v>6814</v>
      </c>
      <c r="B1082" s="440" t="s">
        <v>111</v>
      </c>
      <c r="C1082" s="440" t="str">
        <f>IFERROR(LEFT(PV_DATA[[#This Row],[TCL REFERENCE]],FIND(".",PV_DATA[[#This Row],[TCL REFERENCE]],1)-1),"Main Line")</f>
        <v>Main Line</v>
      </c>
      <c r="D1082" s="440" t="s">
        <v>63</v>
      </c>
      <c r="E1082" s="440" t="s">
        <v>68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68</v>
      </c>
      <c r="H1082" s="440" t="s">
        <v>68</v>
      </c>
      <c r="I1082" s="440" t="s">
        <v>68</v>
      </c>
      <c r="J1082" s="432" t="s">
        <v>68</v>
      </c>
      <c r="M1082" s="431" t="s">
        <v>6273</v>
      </c>
      <c r="N1082" s="462">
        <v>46167</v>
      </c>
      <c r="O1082" s="432" t="s">
        <v>4526</v>
      </c>
      <c r="P1082" s="432" t="s">
        <v>4592</v>
      </c>
      <c r="Q1082" s="432" t="s">
        <v>4593</v>
      </c>
      <c r="R1082" s="432" t="str">
        <f>_xlfn.XLOOKUP(PV_DATA[[#This Row],[New Ark SKU]],Table9[New Ark SKU],Table9[Connector],,0)</f>
        <v>H4(Com)</v>
      </c>
      <c r="S1082" s="443" t="str">
        <f>_xlfn.XLOOKUP(PV_DATA[[#This Row],[New Ark SKU]],Table9[New Ark SKU],Table9[Cable],,0)</f>
        <v>+400mm/-200mm</v>
      </c>
      <c r="T1082" s="443">
        <v>630</v>
      </c>
      <c r="U1082" s="1212" cm="1">
        <f t="array" ref="U1082">56160-fx_qty</f>
        <v>0</v>
      </c>
      <c r="V1082" s="449">
        <f>PV_DATA[[#This Row],[QUANTITY]]*PV_DATA[[#This Row],[WATT]]/1000000</f>
        <v>0</v>
      </c>
      <c r="W1082" s="467">
        <f>PV_DATA[[#This Row],[QUANTITY]]/PV_DATA[[#This Row],[Qty/Pallet]]</f>
        <v>0</v>
      </c>
      <c r="X1082" s="1114">
        <f>PV_DATA[[#This Row],[QUANTITY]]/PV_DATA[[#This Row],[Qty/CT]]</f>
        <v>0</v>
      </c>
      <c r="Y1082" s="432" t="s">
        <v>6650</v>
      </c>
      <c r="Z1082" s="432" t="str">
        <f t="shared" si="19"/>
        <v/>
      </c>
      <c r="AB1082" s="442"/>
      <c r="AC1082" s="468" t="str">
        <f>IF(PV_DATA[[#This Row],[Pick-Up Date]]&lt;&gt;"",_xlfn.ISOWEEKNUM(PV_DATA[[#This Row],[Pick-Up Date]]),"")</f>
        <v/>
      </c>
      <c r="AF1082" s="432" t="s">
        <v>122</v>
      </c>
      <c r="AG1082" s="432" t="s">
        <v>123</v>
      </c>
      <c r="AH1082" s="432" t="s">
        <v>68</v>
      </c>
      <c r="AI1082" s="442"/>
      <c r="AJ1082" s="442"/>
      <c r="AK1082" s="438" t="str">
        <f>IFERROR(IF(VLOOKUP(AT1082,Vessel!A:F,5,FALSE)=0,"",VLOOKUP(AT1082,Vessel!A:F,5,FALSE)),"")</f>
        <v/>
      </c>
      <c r="AL1082" s="442"/>
      <c r="AM1082" s="442"/>
      <c r="AN1082" s="588" t="str">
        <f>IFERROR(IF(VLOOKUP(AT1082,Vessel!A:I,9,FALSE)=0,"",VLOOKUP(AT1082,Vessel!A:I,9,FALSE)),"")</f>
        <v/>
      </c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 t="str">
        <f>IF(ISERROR(PV_DATA[[#This Row],[New Ark PO status]]),"",_xlfn.XLOOKUP(PV_DATA[[#This Row],[SPTN-PVHK New Ark PO'#]],New_Ark_Data[Purchase order Number],New_Ark_Data[Estimated time of arrival],"",0))</f>
        <v/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2" t="str">
        <f>IFERROR(PV_DATA[[#This Row],[ODP ETA Port]]+PV_DATA[[#This Row],[Customs/Leg3 Assumption]],"n/a")</f>
        <v>n/a</v>
      </c>
      <c r="BB1082" s="443" t="e">
        <f>YEAR(PV_DATA[[#This Row],[ETA for New Ark update]])</f>
        <v>#VALUE!</v>
      </c>
      <c r="BC1082" s="432" t="e">
        <f>MONTH(PV_DATA[[#This Row],[ETA for New Ark update]])</f>
        <v>#VALUE!</v>
      </c>
      <c r="BD1082" s="432">
        <f>IFERROR(_xlfn.ISOWEEKNUM(PV_DATA[[#This Row],[ETA for New Ark update]]),0)</f>
        <v>0</v>
      </c>
      <c r="BE1082" s="432">
        <f>_xlfn.XLOOKUP(PV_DATA[[#This Row],[New Ark SKU]],Table9[New Ark SKU],Table9[Total PCS per Pallet],,0)</f>
        <v>36</v>
      </c>
      <c r="BF1082" s="432">
        <f>_xlfn.XLOOKUP(PV_DATA[[#This Row],[New Ark SKU]],Table9[New Ark SKU],Table9[Total PCS per 40HQ Container],,0)</f>
        <v>720</v>
      </c>
      <c r="BG1082" s="432" t="str">
        <f>_xlfn.XLOOKUP(PV_DATA[[#This Row],[New Ark SKU]],Table9[New Ark SKU],Table9[Back Glass],,0)</f>
        <v>Transparent</v>
      </c>
      <c r="BH1082" s="432" t="str">
        <f>_xlfn.XLOOKUP(PV_DATA[[#This Row],[PORT DESTINATION]],Table12[PORT DESTINATION],Table12[Cosco Line],,0)</f>
        <v>n/a</v>
      </c>
    </row>
    <row r="1083" spans="1:91" s="432" customFormat="1" ht="10.5" hidden="1">
      <c r="A1083" s="440" t="s">
        <v>5168</v>
      </c>
      <c r="B1083" s="440" t="s">
        <v>111</v>
      </c>
      <c r="C1083" s="440" t="str">
        <f>IFERROR(LEFT(PV_DATA[[#This Row],[TCL REFERENCE]],FIND(".",PV_DATA[[#This Row],[TCL REFERENCE]],1)-1),"Main Line")</f>
        <v>Main Line</v>
      </c>
      <c r="D1083" s="440" t="s">
        <v>63</v>
      </c>
      <c r="E1083" s="440" t="s">
        <v>68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68</v>
      </c>
      <c r="H1083" s="721" t="s">
        <v>68</v>
      </c>
      <c r="I1083" s="440" t="s">
        <v>68</v>
      </c>
      <c r="J1083" s="432" t="s">
        <v>68</v>
      </c>
      <c r="M1083" s="431" t="s">
        <v>6273</v>
      </c>
      <c r="N1083" s="462" t="s">
        <v>68</v>
      </c>
      <c r="O1083" s="432" t="s">
        <v>4526</v>
      </c>
      <c r="P1083" s="432" t="s">
        <v>5036</v>
      </c>
      <c r="Q1083" s="432" t="s">
        <v>1807</v>
      </c>
      <c r="R1083" s="432" t="str">
        <f>_xlfn.XLOOKUP(PV_DATA[[#This Row],[New Ark SKU]],Table9[New Ark SKU],Table9[Connector],,0)</f>
        <v>H4(Com)</v>
      </c>
      <c r="S1083" s="443" t="str">
        <f>_xlfn.XLOOKUP(PV_DATA[[#This Row],[New Ark SKU]],Table9[New Ark SKU],Table9[Cable],,0)</f>
        <v>+400mm/-200mm</v>
      </c>
      <c r="T1083" s="443">
        <v>720</v>
      </c>
      <c r="U1083" s="1212" cm="1">
        <f t="array" ref="U1083">35046-fx_qty</f>
        <v>0</v>
      </c>
      <c r="V1083" s="445">
        <f>PV_DATA[[#This Row],[QUANTITY]]*PV_DATA[[#This Row],[WATT]]/1000000</f>
        <v>0</v>
      </c>
      <c r="W1083" s="467">
        <f>PV_DATA[[#This Row],[QUANTITY]]/PV_DATA[[#This Row],[Qty/Pallet]]</f>
        <v>0</v>
      </c>
      <c r="X1083" s="1114">
        <f>PV_DATA[[#This Row],[QUANTITY]]/PV_DATA[[#This Row],[Qty/CT]]</f>
        <v>0</v>
      </c>
      <c r="Y1083" s="432" t="s">
        <v>6650</v>
      </c>
      <c r="Z1083" s="432" t="str">
        <f t="shared" si="19"/>
        <v/>
      </c>
      <c r="AB1083" s="442"/>
      <c r="AC1083" s="468" t="str">
        <f>IF(PV_DATA[[#This Row],[Pick-Up Date]]&lt;&gt;"",_xlfn.ISOWEEKNUM(PV_DATA[[#This Row],[Pick-Up Date]]),"")</f>
        <v/>
      </c>
      <c r="AD1083" s="467"/>
      <c r="AE1083" s="467"/>
      <c r="AF1083" s="432" t="s">
        <v>122</v>
      </c>
      <c r="AG1083" s="432" t="s">
        <v>123</v>
      </c>
      <c r="AH1083" s="432" t="s">
        <v>68</v>
      </c>
      <c r="AI1083" s="442"/>
      <c r="AJ1083" s="442"/>
      <c r="AK1083" s="438" t="str">
        <f>IFERROR(IF(VLOOKUP(AT1083,Vessel!A:F,5,FALSE)=0,"",VLOOKUP(AT1083,Vessel!A:F,5,FALSE)),"")</f>
        <v/>
      </c>
      <c r="AL1083" s="442"/>
      <c r="AM1083" s="442"/>
      <c r="AN1083" s="588" t="str">
        <f>IFERROR(IF(VLOOKUP(AT1083,Vessel!A:I,9,FALSE)=0,"",VLOOKUP(AT1083,Vessel!A:I,9,FALSE)),"")</f>
        <v/>
      </c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 t="str">
        <f>IF(ISERROR(PV_DATA[[#This Row],[New Ark PO status]]),"",_xlfn.XLOOKUP(PV_DATA[[#This Row],[SPTN-PVHK New Ark PO'#]],New_Ark_Data[Purchase order Number],New_Ark_Data[Estimated time of arrival],"",0))</f>
        <v/>
      </c>
      <c r="AZ10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2" t="str">
        <f>IFERROR(PV_DATA[[#This Row],[ODP ETA Port]]+PV_DATA[[#This Row],[Customs/Leg3 Assumption]],"n/a")</f>
        <v>n/a</v>
      </c>
      <c r="BB1083" s="443" t="e">
        <f>YEAR(PV_DATA[[#This Row],[ETA for New Ark update]])</f>
        <v>#VALUE!</v>
      </c>
      <c r="BC1083" s="432" t="e">
        <f>MONTH(PV_DATA[[#This Row],[ETA for New Ark update]])</f>
        <v>#VALUE!</v>
      </c>
      <c r="BD1083" s="432">
        <f>IFERROR(_xlfn.ISOWEEKNUM(PV_DATA[[#This Row],[ETA for New Ark update]]),0)</f>
        <v>0</v>
      </c>
      <c r="BE1083" s="432">
        <f>_xlfn.XLOOKUP(PV_DATA[[#This Row],[New Ark SKU]],Table9[New Ark SKU],Table9[Total PCS per Pallet],,0)</f>
        <v>33</v>
      </c>
      <c r="BF1083" s="432">
        <f>_xlfn.XLOOKUP(PV_DATA[[#This Row],[New Ark SKU]],Table9[New Ark SKU],Table9[Total PCS per 40HQ Container],,0)</f>
        <v>594</v>
      </c>
      <c r="BG1083" s="432" t="str">
        <f>_xlfn.XLOOKUP(PV_DATA[[#This Row],[New Ark SKU]],Table9[New Ark SKU],Table9[Back Glass],,0)</f>
        <v>Transparent</v>
      </c>
      <c r="BH1083" s="432" t="str">
        <f>_xlfn.XLOOKUP(PV_DATA[[#This Row],[PORT DESTINATION]],Table12[PORT DESTINATION],Table12[Cosco Line],,0)</f>
        <v>n/a</v>
      </c>
    </row>
    <row r="1084" spans="1:91" ht="10.5" hidden="1">
      <c r="A1084" s="440" t="s">
        <v>1976</v>
      </c>
      <c r="B1084" s="440" t="s">
        <v>111</v>
      </c>
      <c r="C1084" s="440" t="str">
        <f>IFERROR(LEFT(PV_DATA[[#This Row],[TCL REFERENCE]],FIND(".",PV_DATA[[#This Row],[TCL REFERENCE]],1)-1),"Main Line")</f>
        <v>Main Line</v>
      </c>
      <c r="D1084" s="440" t="s">
        <v>63</v>
      </c>
      <c r="E1084" s="440" t="s">
        <v>68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68</v>
      </c>
      <c r="H1084" s="440" t="s">
        <v>68</v>
      </c>
      <c r="I1084" s="440" t="s">
        <v>68</v>
      </c>
      <c r="J1084" s="432" t="s">
        <v>68</v>
      </c>
      <c r="K1084" s="432"/>
      <c r="L1084" s="432"/>
      <c r="M1084" s="431" t="s">
        <v>6273</v>
      </c>
      <c r="N1084" s="462">
        <v>46111</v>
      </c>
      <c r="O1084" s="432" t="s">
        <v>170</v>
      </c>
      <c r="P1084" s="432" t="s">
        <v>1977</v>
      </c>
      <c r="Q1084" s="432" t="s">
        <v>1978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±1400mm</v>
      </c>
      <c r="T1084" s="443">
        <v>560</v>
      </c>
      <c r="U1084" s="1212" cm="1">
        <f t="array" ref="U1084">13827-fx_qty</f>
        <v>0</v>
      </c>
      <c r="V1084" s="435">
        <f>PV_DATA[[#This Row],[QUANTITY]]*PV_DATA[[#This Row],[WATT]]/1000000</f>
        <v>0</v>
      </c>
      <c r="W1084" s="436">
        <f>PV_DATA[[#This Row],[QUANTITY]]/PV_DATA[[#This Row],[Qty/Pallet]]</f>
        <v>0</v>
      </c>
      <c r="X1084" s="1110">
        <f>PV_DATA[[#This Row],[QUANTITY]]/PV_DATA[[#This Row],[Qty/CT]]</f>
        <v>0</v>
      </c>
      <c r="Y1084" s="432" t="s">
        <v>6650</v>
      </c>
      <c r="Z1084" s="431" t="str">
        <f t="shared" si="19"/>
        <v/>
      </c>
      <c r="AA1084" s="432"/>
      <c r="AB1084" s="442"/>
      <c r="AC1084" s="446" t="str">
        <f>IF(PV_DATA[[#This Row],[Pick-Up Date]]&lt;&gt;"",_xlfn.ISOWEEKNUM(PV_DATA[[#This Row],[Pick-Up Date]]),"")</f>
        <v/>
      </c>
      <c r="AD1084" s="432"/>
      <c r="AE1084" s="432"/>
      <c r="AF1084" s="432" t="s">
        <v>122</v>
      </c>
      <c r="AG1084" s="432" t="s">
        <v>123</v>
      </c>
      <c r="AH1084" s="432" t="s">
        <v>68</v>
      </c>
      <c r="AI1084" s="442"/>
      <c r="AJ1084" s="442"/>
      <c r="AK1084" s="438" t="str">
        <f>IFERROR(IF(VLOOKUP(AT1084,Vessel!A:F,5,FALSE)=0,"",VLOOKUP(AT1084,Vessel!A:F,5,FALSE)),"")</f>
        <v/>
      </c>
      <c r="AL1084" s="442"/>
      <c r="AM1084" s="442"/>
      <c r="AN1084" s="588" t="str">
        <f>IFERROR(IF(VLOOKUP(AT1084,Vessel!A:I,9,FALSE)=0,"",VLOOKUP(AT1084,Vessel!A:I,9,FALSE)),"")</f>
        <v/>
      </c>
      <c r="AO1084" s="432"/>
      <c r="AP1084" s="432"/>
      <c r="AQ1084" s="432"/>
      <c r="AR1084" s="432"/>
      <c r="AS1084" s="432"/>
      <c r="AT1084" s="432"/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2"/>
      <c r="AW1084" s="442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>IF(ISERROR(PV_DATA[[#This Row],[New Ark PO status]]),"",_xlfn.XLOOKUP(PV_DATA[[#This Row],[SPTN-PVHK New Ark PO'#]],New_Ark_Data[Purchase order Number],New_Ark_Data[Estimated time of arrival],"",0))</f>
        <v/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38" t="str">
        <f>IFERROR(PV_DATA[[#This Row],[ODP ETA Port]]+PV_DATA[[#This Row],[Customs/Leg3 Assumption]],"n/a")</f>
        <v>n/a</v>
      </c>
      <c r="BB1084" s="443" t="e">
        <f>YEAR(PV_DATA[[#This Row],[ETA for New Ark update]])</f>
        <v>#VALUE!</v>
      </c>
      <c r="BC1084" s="432" t="e">
        <f>MONTH(PV_DATA[[#This Row],[ETA for New Ark update]])</f>
        <v>#VALUE!</v>
      </c>
      <c r="BD1084" s="432">
        <f>IFERROR(_xlfn.ISOWEEKNUM(PV_DATA[[#This Row],[ETA for New Ark update]]),0)</f>
        <v>0</v>
      </c>
      <c r="BE1084" s="432">
        <f>_xlfn.XLOOKUP(PV_DATA[[#This Row],[New Ark SKU]],Table9[New Ark SKU],Table9[Total PCS per Pallet],,0)</f>
        <v>33</v>
      </c>
      <c r="BF1084" s="432">
        <f>_xlfn.XLOOKUP(PV_DATA[[#This Row],[New Ark SKU]],Table9[New Ark SKU],Table9[Total PCS per 40HQ Container],,0)</f>
        <v>660</v>
      </c>
      <c r="BG1084" s="432" t="str">
        <f>_xlfn.XLOOKUP(PV_DATA[[#This Row],[New Ark SKU]],Table9[New Ark SKU],Table9[Back Glass],,0)</f>
        <v>White glazing</v>
      </c>
      <c r="BH1084" s="432" t="str">
        <f>_xlfn.XLOOKUP(PV_DATA[[#This Row],[PORT DESTINATION]],Table12[PORT DESTINATION],Table12[Cosco Line],,0)</f>
        <v>n/a</v>
      </c>
      <c r="BJ1084" s="431"/>
    </row>
    <row r="1085" spans="1:91" ht="10.5" hidden="1">
      <c r="A1085" s="440" t="s">
        <v>6815</v>
      </c>
      <c r="B1085" s="440" t="s">
        <v>2132</v>
      </c>
      <c r="C1085" s="440" t="str">
        <f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K1085" s="432"/>
      <c r="L1085" s="432"/>
      <c r="M1085" s="431" t="s">
        <v>6273</v>
      </c>
      <c r="N1085" s="462">
        <v>46146</v>
      </c>
      <c r="O1085" s="432" t="s">
        <v>170</v>
      </c>
      <c r="P1085" s="431" t="s">
        <v>171</v>
      </c>
      <c r="Q1085" s="432" t="s">
        <v>1731</v>
      </c>
      <c r="R1085" s="432" t="str">
        <f>_xlfn.XLOOKUP(PV_DATA[[#This Row],[New Ark SKU]],Table9[New Ark SKU],Table9[Connector],,0)</f>
        <v>EVO2A</v>
      </c>
      <c r="S1085" s="443" t="str">
        <f>_xlfn.XLOOKUP(PV_DATA[[#This Row],[New Ark SKU]],Table9[New Ark SKU],Table9[Cable],,0)</f>
        <v>±1400mm</v>
      </c>
      <c r="T1085" s="443">
        <v>555</v>
      </c>
      <c r="U1085" s="1212" cm="1">
        <f t="array" ref="U1085">9900-fx_qty</f>
        <v>0</v>
      </c>
      <c r="V1085" s="435">
        <f>PV_DATA[[#This Row],[QUANTITY]]*PV_DATA[[#This Row],[WATT]]/1000000</f>
        <v>0</v>
      </c>
      <c r="W1085" s="436">
        <f>PV_DATA[[#This Row],[QUANTITY]]/PV_DATA[[#This Row],[Qty/Pallet]]</f>
        <v>0</v>
      </c>
      <c r="X1085" s="1110">
        <f>PV_DATA[[#This Row],[QUANTITY]]/PV_DATA[[#This Row],[Qty/CT]]</f>
        <v>0</v>
      </c>
      <c r="Y1085" s="432" t="s">
        <v>6650</v>
      </c>
      <c r="Z1085" s="431" t="str">
        <f t="shared" si="19"/>
        <v/>
      </c>
      <c r="AA1085" s="432"/>
      <c r="AB1085" s="442"/>
      <c r="AC1085" s="468" t="str">
        <f>IF(PV_DATA[[#This Row],[Pick-Up Date]]&lt;&gt;"",_xlfn.ISOWEEKNUM(PV_DATA[[#This Row],[Pick-Up Date]]),"")</f>
        <v/>
      </c>
      <c r="AD1085" s="432"/>
      <c r="AE1085" s="432"/>
      <c r="AF1085" s="432" t="s">
        <v>123</v>
      </c>
      <c r="AG1085" s="432" t="s">
        <v>123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8" t="str">
        <f>IFERROR(IF(VLOOKUP(AT1085,Vessel!A:I,9,FALSE)=0,"",VLOOKUP(AT1085,Vessel!A:I,9,FALSE)),"")</f>
        <v/>
      </c>
      <c r="AO1085" s="432"/>
      <c r="AP1085" s="432"/>
      <c r="AQ1085" s="432"/>
      <c r="AR1085" s="432"/>
      <c r="AS1085" s="432"/>
      <c r="AT1085" s="432"/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>IF(ISERROR(PV_DATA[[#This Row],[New Ark PO status]]),"",_xlfn.XLOOKUP(PV_DATA[[#This Row],[SPTN-PVHK New Ark PO'#]],New_Ark_Data[Purchase order Number],New_Ark_Data[Estimated time of arrival],"",0))</f>
        <v/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38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33</v>
      </c>
      <c r="BF1085" s="432">
        <f>_xlfn.XLOOKUP(PV_DATA[[#This Row],[New Ark SKU]],Table9[New Ark SKU],Table9[Total PCS per 40HQ Container],,0)</f>
        <v>660</v>
      </c>
      <c r="BG1085" s="432" t="str">
        <f>_xlfn.XLOOKUP(PV_DATA[[#This Row],[New Ark SKU]],Table9[New Ark SKU],Table9[Back Glass],,0)</f>
        <v>White glazing</v>
      </c>
      <c r="BH1085" s="432" t="str">
        <f>_xlfn.XLOOKUP(PV_DATA[[#This Row],[PORT DESTINATION]],Table12[PORT DESTINATION],Table12[Cosco Line],,0)</f>
        <v>n/a</v>
      </c>
      <c r="BJ1085" s="431"/>
    </row>
    <row r="1086" spans="1:91" ht="10.5" hidden="1">
      <c r="A1086" s="440" t="s">
        <v>2438</v>
      </c>
      <c r="B1086" s="440" t="s">
        <v>2132</v>
      </c>
      <c r="C1086" s="440" t="str">
        <f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K1086" s="432"/>
      <c r="L1086" s="432"/>
      <c r="M1086" s="431" t="s">
        <v>6273</v>
      </c>
      <c r="N1086" s="462">
        <v>46146</v>
      </c>
      <c r="O1086" s="432" t="s">
        <v>170</v>
      </c>
      <c r="P1086" s="431" t="s">
        <v>1977</v>
      </c>
      <c r="Q1086" s="432" t="s">
        <v>1978</v>
      </c>
      <c r="R1086" s="432" t="str">
        <f>_xlfn.XLOOKUP(PV_DATA[[#This Row],[New Ark SKU]],Table9[New Ark SKU],Table9[Connector],,0)</f>
        <v>EVO2A</v>
      </c>
      <c r="S1086" s="443" t="str">
        <f>_xlfn.XLOOKUP(PV_DATA[[#This Row],[New Ark SKU]],Table9[New Ark SKU],Table9[Cable],,0)</f>
        <v>±1400mm</v>
      </c>
      <c r="T1086" s="443">
        <v>560</v>
      </c>
      <c r="U1086" s="1212" cm="1">
        <f t="array" ref="U1086">26400-fx_qty</f>
        <v>0</v>
      </c>
      <c r="V1086" s="435">
        <f>PV_DATA[[#This Row],[QUANTITY]]*PV_DATA[[#This Row],[WATT]]/1000000</f>
        <v>0</v>
      </c>
      <c r="W1086" s="436">
        <f>PV_DATA[[#This Row],[QUANTITY]]/PV_DATA[[#This Row],[Qty/Pallet]]</f>
        <v>0</v>
      </c>
      <c r="X1086" s="1110">
        <f>PV_DATA[[#This Row],[QUANTITY]]/PV_DATA[[#This Row],[Qty/CT]]</f>
        <v>0</v>
      </c>
      <c r="Y1086" s="432" t="s">
        <v>6650</v>
      </c>
      <c r="Z1086" s="431" t="str">
        <f t="shared" si="19"/>
        <v/>
      </c>
      <c r="AA1086" s="432"/>
      <c r="AB1086" s="442"/>
      <c r="AC1086" s="468" t="str">
        <f>IF(PV_DATA[[#This Row],[Pick-Up Date]]&lt;&gt;"",_xlfn.ISOWEEKNUM(PV_DATA[[#This Row],[Pick-Up Date]]),"")</f>
        <v/>
      </c>
      <c r="AD1086" s="432"/>
      <c r="AE1086" s="432"/>
      <c r="AF1086" s="432" t="s">
        <v>123</v>
      </c>
      <c r="AG1086" s="432" t="s">
        <v>123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8" t="str">
        <f>IFERROR(IF(VLOOKUP(AT1086,Vessel!A:I,9,FALSE)=0,"",VLOOKUP(AT1086,Vessel!A:I,9,FALSE)),"")</f>
        <v/>
      </c>
      <c r="AO1086" s="432"/>
      <c r="AP1086" s="432"/>
      <c r="AQ1086" s="432"/>
      <c r="AR1086" s="432"/>
      <c r="AS1086" s="432"/>
      <c r="AT1086" s="432"/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>IF(ISERROR(PV_DATA[[#This Row],[New Ark PO status]]),"",_xlfn.XLOOKUP(PV_DATA[[#This Row],[SPTN-PVHK New Ark PO'#]],New_Ark_Data[Purchase order Number],New_Ark_Data[Estimated time of arrival],"",0))</f>
        <v/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38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33</v>
      </c>
      <c r="BF1086" s="432">
        <f>_xlfn.XLOOKUP(PV_DATA[[#This Row],[New Ark SKU]],Table9[New Ark SKU],Table9[Total PCS per 40HQ Container],,0)</f>
        <v>660</v>
      </c>
      <c r="BG1086" s="432" t="str">
        <f>_xlfn.XLOOKUP(PV_DATA[[#This Row],[New Ark SKU]],Table9[New Ark SKU],Table9[Back Glass],,0)</f>
        <v>White glazing</v>
      </c>
      <c r="BH1086" s="432" t="str">
        <f>_xlfn.XLOOKUP(PV_DATA[[#This Row],[PORT DESTINATION]],Table12[PORT DESTINATION],Table12[Cosco Line],,0)</f>
        <v>n/a</v>
      </c>
      <c r="BJ1086" s="431"/>
    </row>
    <row r="1087" spans="1:91" ht="10.5" hidden="1">
      <c r="A1087" s="440" t="s">
        <v>6816</v>
      </c>
      <c r="B1087" s="440" t="s">
        <v>111</v>
      </c>
      <c r="C1087" s="440" t="str">
        <f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440" t="s">
        <v>68</v>
      </c>
      <c r="I1087" s="440" t="s">
        <v>68</v>
      </c>
      <c r="J1087" s="432" t="s">
        <v>68</v>
      </c>
      <c r="K1087" s="432"/>
      <c r="L1087" s="432"/>
      <c r="M1087" s="431" t="s">
        <v>6273</v>
      </c>
      <c r="N1087" s="462">
        <v>46146</v>
      </c>
      <c r="O1087" s="432" t="s">
        <v>132</v>
      </c>
      <c r="P1087" s="431" t="s">
        <v>189</v>
      </c>
      <c r="Q1087" s="432" t="s">
        <v>190</v>
      </c>
      <c r="R1087" s="432" t="str">
        <f>_xlfn.XLOOKUP(PV_DATA[[#This Row],[New Ark SKU]],Table9[New Ark SKU],Table9[Connector],,0)</f>
        <v>EVO2A</v>
      </c>
      <c r="S1087" s="443" t="str">
        <f>_xlfn.XLOOKUP(PV_DATA[[#This Row],[New Ark SKU]],Table9[New Ark SKU],Table9[Cable],,0)</f>
        <v>±1200mm</v>
      </c>
      <c r="T1087" s="443">
        <v>465</v>
      </c>
      <c r="U1087" s="1212" cm="1">
        <f t="array" ref="U1087">8640-fx_qty</f>
        <v>0</v>
      </c>
      <c r="V1087" s="435">
        <f>PV_DATA[[#This Row],[QUANTITY]]*PV_DATA[[#This Row],[WATT]]/1000000</f>
        <v>0</v>
      </c>
      <c r="W1087" s="436">
        <f>PV_DATA[[#This Row],[QUANTITY]]/PV_DATA[[#This Row],[Qty/Pallet]]</f>
        <v>0</v>
      </c>
      <c r="X1087" s="1110">
        <f>PV_DATA[[#This Row],[QUANTITY]]/PV_DATA[[#This Row],[Qty/CT]]</f>
        <v>0</v>
      </c>
      <c r="Y1087" s="432" t="s">
        <v>6650</v>
      </c>
      <c r="Z1087" s="431" t="str">
        <f t="shared" si="19"/>
        <v/>
      </c>
      <c r="AA1087" s="432"/>
      <c r="AB1087" s="442"/>
      <c r="AC1087" s="468" t="str">
        <f>IF(PV_DATA[[#This Row],[Pick-Up Date]]&lt;&gt;"",_xlfn.ISOWEEKNUM(PV_DATA[[#This Row],[Pick-Up Date]]),"")</f>
        <v/>
      </c>
      <c r="AD1087" s="432"/>
      <c r="AE1087" s="432"/>
      <c r="AF1087" s="432" t="s">
        <v>123</v>
      </c>
      <c r="AG1087" s="432" t="s">
        <v>123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8" t="str">
        <f>IFERROR(IF(VLOOKUP(AT1087,Vessel!A:I,9,FALSE)=0,"",VLOOKUP(AT1087,Vessel!A:I,9,FALSE)),"")</f>
        <v/>
      </c>
      <c r="AO1087" s="432"/>
      <c r="AP1087" s="432"/>
      <c r="AQ1087" s="432"/>
      <c r="AR1087" s="432"/>
      <c r="AS1087" s="432"/>
      <c r="AT1087" s="432"/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>
        <f>IF(ISERROR(PV_DATA[[#This Row],[New Ark PO status]]),"",_xlfn.XLOOKUP(PV_DATA[[#This Row],[SPTN-PVHK New Ark PO'#]],New_Ark_Data[Purchase order Number],New_Ark_Data[Estimated time of arrival],"",0))</f>
        <v>0</v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38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36</v>
      </c>
      <c r="BF1087" s="432">
        <f>_xlfn.XLOOKUP(PV_DATA[[#This Row],[New Ark SKU]],Table9[New Ark SKU],Table9[Total PCS per 40HQ Container],,0)</f>
        <v>864</v>
      </c>
      <c r="BG1087" s="432" t="str">
        <f>_xlfn.XLOOKUP(PV_DATA[[#This Row],[New Ark SKU]],Table9[New Ark SKU],Table9[Back Glass],,0)</f>
        <v>White glazing</v>
      </c>
      <c r="BH1087" s="432" t="str">
        <f>_xlfn.XLOOKUP(PV_DATA[[#This Row],[PORT DESTINATION]],Table12[PORT DESTINATION],Table12[Cosco Line],,0)</f>
        <v>n/a</v>
      </c>
      <c r="BJ1087" s="431"/>
    </row>
    <row r="1088" spans="1:91" ht="10.5" hidden="1">
      <c r="A1088" s="440" t="s">
        <v>2422</v>
      </c>
      <c r="B1088" s="440" t="s">
        <v>111</v>
      </c>
      <c r="C1088" s="440" t="str">
        <f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6273</v>
      </c>
      <c r="N1088" s="462">
        <v>46146</v>
      </c>
      <c r="O1088" s="432" t="s">
        <v>132</v>
      </c>
      <c r="P1088" s="431" t="s">
        <v>1062</v>
      </c>
      <c r="Q1088" s="432" t="s">
        <v>1063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±1200mm</v>
      </c>
      <c r="T1088" s="443">
        <v>470</v>
      </c>
      <c r="U1088" s="1212" cm="1">
        <f t="array" ref="U1088">23328-fx_qty</f>
        <v>0</v>
      </c>
      <c r="V1088" s="435">
        <f>PV_DATA[[#This Row],[QUANTITY]]*PV_DATA[[#This Row],[WATT]]/1000000</f>
        <v>0</v>
      </c>
      <c r="W1088" s="436">
        <f>PV_DATA[[#This Row],[QUANTITY]]/PV_DATA[[#This Row],[Qty/Pallet]]</f>
        <v>0</v>
      </c>
      <c r="X1088" s="1110">
        <f>PV_DATA[[#This Row],[QUANTITY]]/PV_DATA[[#This Row],[Qty/CT]]</f>
        <v>0</v>
      </c>
      <c r="Y1088" s="432" t="s">
        <v>6650</v>
      </c>
      <c r="Z1088" s="431" t="str">
        <f t="shared" si="19"/>
        <v/>
      </c>
      <c r="AA1088" s="432"/>
      <c r="AB1088" s="442"/>
      <c r="AC1088" s="468" t="str">
        <f>IF(PV_DATA[[#This Row],[Pick-Up Date]]&lt;&gt;"",_xlfn.ISOWEEKNUM(PV_DATA[[#This Row],[Pick-Up Date]]),"")</f>
        <v/>
      </c>
      <c r="AD1088" s="432"/>
      <c r="AE1088" s="432"/>
      <c r="AF1088" s="432" t="s">
        <v>123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8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>
        <f>IF(ISERROR(PV_DATA[[#This Row],[New Ark PO status]]),"",_xlfn.XLOOKUP(PV_DATA[[#This Row],[SPTN-PVHK New Ark PO'#]],New_Ark_Data[Purchase order Number],New_Ark_Data[Estimated time of arrival],"",0))</f>
        <v>0</v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>IFERROR(PV_DATA[[#This Row],[ODP ETA Port]]+PV_DATA[[#This Row],[Customs/Leg3 Assumption]],"n/a")</f>
        <v>n/a</v>
      </c>
      <c r="BB1088" s="443" t="e">
        <f>YEAR(PV_DATA[[#This Row],[ETA for New Ark update]])</f>
        <v>#VALUE!</v>
      </c>
      <c r="BC1088" s="432" t="e">
        <f>MONTH(PV_DATA[[#This Row],[ETA for New Ark update]])</f>
        <v>#VALUE!</v>
      </c>
      <c r="BD1088" s="432">
        <f>IFERROR(_xlfn.ISOWEEKNUM(PV_DATA[[#This Row],[ETA for New Ark update]]),0)</f>
        <v>0</v>
      </c>
      <c r="BE1088" s="432">
        <f>_xlfn.XLOOKUP(PV_DATA[[#This Row],[New Ark SKU]],Table9[New Ark SKU],Table9[Total PCS per Pallet],,0)</f>
        <v>36</v>
      </c>
      <c r="BF1088" s="432">
        <f>_xlfn.XLOOKUP(PV_DATA[[#This Row],[New Ark SKU]],Table9[New Ark SKU],Table9[Total PCS per 40HQ Container],,0)</f>
        <v>864</v>
      </c>
      <c r="BG1088" s="432" t="str">
        <f>_xlfn.XLOOKUP(PV_DATA[[#This Row],[New Ark SKU]],Table9[New Ark SKU],Table9[Back Glass],,0)</f>
        <v>White glazing</v>
      </c>
      <c r="BH1088" s="432" t="str">
        <f>_xlfn.XLOOKUP(PV_DATA[[#This Row],[PORT DESTINATION]],Table12[PORT DESTINATION],Table12[Cosco Line],,0)</f>
        <v>n/a</v>
      </c>
      <c r="BJ1088" s="431"/>
    </row>
    <row r="1089" spans="1:62" ht="10.5" hidden="1">
      <c r="A1089" s="440" t="s">
        <v>2286</v>
      </c>
      <c r="B1089" s="440" t="s">
        <v>61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K1089" s="432"/>
      <c r="L1089" s="432"/>
      <c r="M1089" s="431" t="s">
        <v>6273</v>
      </c>
      <c r="N1089" s="462">
        <v>46125</v>
      </c>
      <c r="O1089" s="432" t="s">
        <v>70</v>
      </c>
      <c r="P1089" s="431" t="s">
        <v>195</v>
      </c>
      <c r="Q1089" s="432" t="s">
        <v>196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±1200mm</v>
      </c>
      <c r="T1089" s="443">
        <v>450</v>
      </c>
      <c r="U1089" s="1212" cm="1">
        <f t="array" ref="U1089">17784-fx_qty</f>
        <v>0</v>
      </c>
      <c r="V1089" s="435">
        <f>PV_DATA[[#This Row],[QUANTITY]]*PV_DATA[[#This Row],[WATT]]/1000000</f>
        <v>0</v>
      </c>
      <c r="W1089" s="436">
        <f>PV_DATA[[#This Row],[QUANTITY]]/PV_DATA[[#This Row],[Qty/Pallet]]</f>
        <v>0</v>
      </c>
      <c r="X1089" s="1110">
        <f>PV_DATA[[#This Row],[QUANTITY]]/PV_DATA[[#This Row],[Qty/CT]]</f>
        <v>0</v>
      </c>
      <c r="Y1089" s="432" t="s">
        <v>6650</v>
      </c>
      <c r="Z1089" s="431" t="str">
        <f t="shared" si="19"/>
        <v/>
      </c>
      <c r="AA1089" s="432"/>
      <c r="AB1089" s="442"/>
      <c r="AC1089" s="468"/>
      <c r="AD1089" s="432"/>
      <c r="AE1089" s="432"/>
      <c r="AF1089" s="432" t="s">
        <v>77</v>
      </c>
      <c r="AG1089" s="432" t="s">
        <v>61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>IF(ISERROR(PV_DATA[[#This Row],[New Ark PO status]]),"",_xlfn.XLOOKUP(PV_DATA[[#This Row],[SPTN-PVHK New Ark PO'#]],New_Ark_Data[Purchase order Number],New_Ark_Data[Estimated time of arrival],"",0))</f>
        <v/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36</v>
      </c>
      <c r="BF1089" s="432">
        <f>_xlfn.XLOOKUP(PV_DATA[[#This Row],[New Ark SKU]],Table9[New Ark SKU],Table9[Total PCS per 40HQ Container],,0)</f>
        <v>936</v>
      </c>
      <c r="BG1089" s="432" t="str">
        <f>_xlfn.XLOOKUP(PV_DATA[[#This Row],[New Ark SKU]],Table9[New Ark SKU],Table9[Back Glass],,0)</f>
        <v>Black glazing</v>
      </c>
      <c r="BH1089" s="432" t="str">
        <f>_xlfn.XLOOKUP(PV_DATA[[#This Row],[PORT DESTINATION]],Table12[PORT DESTINATION],Table12[Cosco Line],,0)</f>
        <v>n/a</v>
      </c>
      <c r="BJ1089" s="431"/>
    </row>
    <row r="1090" spans="1:62" ht="10.5" hidden="1">
      <c r="A1090" s="440" t="s">
        <v>2268</v>
      </c>
      <c r="B1090" s="440" t="s">
        <v>61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6273</v>
      </c>
      <c r="N1090" s="462" t="s">
        <v>68</v>
      </c>
      <c r="O1090" s="432" t="s">
        <v>70</v>
      </c>
      <c r="P1090" s="431" t="s">
        <v>71</v>
      </c>
      <c r="Q1090" s="432" t="s">
        <v>72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500</v>
      </c>
      <c r="U1090" s="1212" cm="1">
        <f t="array" ref="U1090">15552-fx_qty</f>
        <v>0</v>
      </c>
      <c r="V1090" s="435">
        <f>PV_DATA[[#This Row],[QUANTITY]]*PV_DATA[[#This Row],[WATT]]/1000000</f>
        <v>0</v>
      </c>
      <c r="W1090" s="436">
        <f>PV_DATA[[#This Row],[QUANTITY]]/PV_DATA[[#This Row],[Qty/Pallet]]</f>
        <v>0</v>
      </c>
      <c r="X1090" s="1110">
        <f>PV_DATA[[#This Row],[QUANTITY]]/PV_DATA[[#This Row],[Qty/CT]]</f>
        <v>0</v>
      </c>
      <c r="Y1090" s="432" t="s">
        <v>6650</v>
      </c>
      <c r="Z1090" s="431" t="str">
        <f t="shared" si="19"/>
        <v/>
      </c>
      <c r="AA1090" s="432"/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77</v>
      </c>
      <c r="AG1090" s="432" t="s">
        <v>61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38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864</v>
      </c>
      <c r="BG1090" s="432" t="str">
        <f>_xlfn.XLOOKUP(PV_DATA[[#This Row],[New Ark SKU]],Table9[New Ark SKU],Table9[Back Glass],,0)</f>
        <v>Black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 hidden="1">
      <c r="A1091" s="440" t="s">
        <v>2260</v>
      </c>
      <c r="B1091" s="440" t="s">
        <v>61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6273</v>
      </c>
      <c r="N1091" s="462" t="s">
        <v>68</v>
      </c>
      <c r="O1091" s="432" t="s">
        <v>70</v>
      </c>
      <c r="P1091" s="431" t="s">
        <v>1151</v>
      </c>
      <c r="Q1091" s="432" t="s">
        <v>421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505</v>
      </c>
      <c r="U1091" s="1212" cm="1">
        <f t="array" ref="U1091">24192-fx_qty</f>
        <v>0</v>
      </c>
      <c r="V1091" s="435">
        <f>PV_DATA[[#This Row],[QUANTITY]]*PV_DATA[[#This Row],[WATT]]/1000000</f>
        <v>0</v>
      </c>
      <c r="W1091" s="436">
        <f>PV_DATA[[#This Row],[QUANTITY]]/PV_DATA[[#This Row],[Qty/Pallet]]</f>
        <v>0</v>
      </c>
      <c r="X1091" s="1110">
        <f>PV_DATA[[#This Row],[QUANTITY]]/PV_DATA[[#This Row],[Qty/CT]]</f>
        <v>0</v>
      </c>
      <c r="Y1091" s="432" t="s">
        <v>6650</v>
      </c>
      <c r="Z1091" s="431" t="str">
        <f t="shared" si="19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61</v>
      </c>
      <c r="AG1091" s="432" t="s">
        <v>61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>IF(ISERROR(PV_DATA[[#This Row],[New Ark PO status]]),"",_xlfn.XLOOKUP(PV_DATA[[#This Row],[SPTN-PVHK New Ark PO'#]],New_Ark_Data[Purchase order Number],New_Ark_Data[Estimated time of arrival],"",0))</f>
        <v/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38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864</v>
      </c>
      <c r="BG1091" s="432" t="str">
        <f>_xlfn.XLOOKUP(PV_DATA[[#This Row],[New Ark SKU]],Table9[New Ark SKU],Table9[Back Glass],,0)</f>
        <v>Black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 hidden="1">
      <c r="A1092" s="440" t="s">
        <v>4729</v>
      </c>
      <c r="B1092" s="440" t="s">
        <v>2132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6273</v>
      </c>
      <c r="N1092" s="462">
        <v>46160</v>
      </c>
      <c r="O1092" s="432" t="s">
        <v>170</v>
      </c>
      <c r="P1092" s="432" t="s">
        <v>171</v>
      </c>
      <c r="Q1092" s="432" t="s">
        <v>1731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±1400mm</v>
      </c>
      <c r="T1092" s="443">
        <v>555</v>
      </c>
      <c r="U1092" s="1212" cm="1">
        <f t="array" ref="U1092">7920-fx_qty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10">
        <f>PV_DATA[[#This Row],[QUANTITY]]/PV_DATA[[#This Row],[Qty/CT]]</f>
        <v>0</v>
      </c>
      <c r="Y1092" s="432" t="s">
        <v>6650</v>
      </c>
      <c r="Z1092" s="431" t="str">
        <f t="shared" si="19"/>
        <v/>
      </c>
      <c r="AA1092" s="432"/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123</v>
      </c>
      <c r="AG1092" s="432" t="s">
        <v>123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33</v>
      </c>
      <c r="BF1092" s="432">
        <f>_xlfn.XLOOKUP(PV_DATA[[#This Row],[New Ark SKU]],Table9[New Ark SKU],Table9[Total PCS per 40HQ Container],,0)</f>
        <v>660</v>
      </c>
      <c r="BG1092" s="432" t="str">
        <f>_xlfn.XLOOKUP(PV_DATA[[#This Row],[New Ark SKU]],Table9[New Ark SKU],Table9[Back Glass],,0)</f>
        <v>White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6817</v>
      </c>
      <c r="B1093" s="440" t="s">
        <v>2132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6273</v>
      </c>
      <c r="N1093" s="462">
        <v>46160</v>
      </c>
      <c r="O1093" s="432" t="s">
        <v>170</v>
      </c>
      <c r="P1093" s="432" t="s">
        <v>1977</v>
      </c>
      <c r="Q1093" s="432" t="s">
        <v>1978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±1400mm</v>
      </c>
      <c r="T1093" s="443">
        <v>560</v>
      </c>
      <c r="U1093" s="1212" cm="1">
        <f t="array" ref="U1093">9900-fx_qty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10">
        <f>PV_DATA[[#This Row],[QUANTITY]]/PV_DATA[[#This Row],[Qty/CT]]</f>
        <v>0</v>
      </c>
      <c r="Y1093" s="432" t="s">
        <v>6650</v>
      </c>
      <c r="Z1093" s="431" t="str">
        <f t="shared" si="19"/>
        <v/>
      </c>
      <c r="AA1093" s="432"/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123</v>
      </c>
      <c r="AG1093" s="432" t="s">
        <v>123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33</v>
      </c>
      <c r="BF1093" s="432">
        <f>_xlfn.XLOOKUP(PV_DATA[[#This Row],[New Ark SKU]],Table9[New Ark SKU],Table9[Total PCS per 40HQ Container],,0)</f>
        <v>660</v>
      </c>
      <c r="BG1093" s="432" t="str">
        <f>_xlfn.XLOOKUP(PV_DATA[[#This Row],[New Ark SKU]],Table9[New Ark SKU],Table9[Back Glass],,0)</f>
        <v>White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6818</v>
      </c>
      <c r="B1094" s="440" t="s">
        <v>111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6273</v>
      </c>
      <c r="N1094" s="462">
        <v>46160</v>
      </c>
      <c r="O1094" s="432" t="s">
        <v>132</v>
      </c>
      <c r="P1094" s="432" t="s">
        <v>189</v>
      </c>
      <c r="Q1094" s="432" t="s">
        <v>190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±1200mm</v>
      </c>
      <c r="T1094" s="443">
        <v>465</v>
      </c>
      <c r="U1094" s="1212" cm="1">
        <f t="array" ref="U1094">13824-fx_qty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10">
        <f>PV_DATA[[#This Row],[QUANTITY]]/PV_DATA[[#This Row],[Qty/CT]]</f>
        <v>0</v>
      </c>
      <c r="Y1094" s="432" t="s">
        <v>6650</v>
      </c>
      <c r="Z1094" s="431" t="str">
        <f t="shared" ref="Z1094:Z1119" si="26">IF(AN1094&lt;&gt;"","COMPLETED",IF(AK1094&lt;&gt;"","IN-TRANSIT",""))</f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123</v>
      </c>
      <c r="AG1094" s="432" t="s">
        <v>123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864</v>
      </c>
      <c r="BG1094" s="432" t="str">
        <f>_xlfn.XLOOKUP(PV_DATA[[#This Row],[New Ark SKU]],Table9[New Ark SKU],Table9[Back Glass],,0)</f>
        <v>White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6819</v>
      </c>
      <c r="B1095" s="440" t="s">
        <v>111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440" t="s">
        <v>68</v>
      </c>
      <c r="I1095" s="440" t="s">
        <v>68</v>
      </c>
      <c r="J1095" s="432" t="s">
        <v>68</v>
      </c>
      <c r="K1095" s="432"/>
      <c r="L1095" s="432"/>
      <c r="M1095" s="431" t="s">
        <v>6273</v>
      </c>
      <c r="N1095" s="462">
        <v>46160</v>
      </c>
      <c r="O1095" s="432" t="s">
        <v>132</v>
      </c>
      <c r="P1095" s="432" t="s">
        <v>1062</v>
      </c>
      <c r="Q1095" s="432" t="s">
        <v>1063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±1200mm</v>
      </c>
      <c r="T1095" s="443">
        <v>470</v>
      </c>
      <c r="U1095" s="1212" cm="1">
        <f t="array" ref="U1095">39744-fx_qty</f>
        <v>0</v>
      </c>
      <c r="V1095" s="435">
        <f>PV_DATA[[#This Row],[QUANTITY]]*PV_DATA[[#This Row],[WATT]]/1000000</f>
        <v>0</v>
      </c>
      <c r="W1095" s="436">
        <f>PV_DATA[[#This Row],[QUANTITY]]/PV_DATA[[#This Row],[Qty/Pallet]]</f>
        <v>0</v>
      </c>
      <c r="X1095" s="1110">
        <f>PV_DATA[[#This Row],[QUANTITY]]/PV_DATA[[#This Row],[Qty/CT]]</f>
        <v>0</v>
      </c>
      <c r="Y1095" s="432" t="s">
        <v>6650</v>
      </c>
      <c r="Z1095" s="431" t="str">
        <f t="shared" si="26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123</v>
      </c>
      <c r="AG1095" s="432" t="s">
        <v>123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864</v>
      </c>
      <c r="BG1095" s="432" t="str">
        <f>_xlfn.XLOOKUP(PV_DATA[[#This Row],[New Ark SKU]],Table9[New Ark SKU],Table9[Back Glass],,0)</f>
        <v>White glazing</v>
      </c>
      <c r="BH1095" s="432" t="str">
        <f>_xlfn.XLOOKUP(PV_DATA[[#This Row],[PORT DESTINATION]],Table12[PORT DESTINATION],Table12[Cosco Line],,0)</f>
        <v>n/a</v>
      </c>
      <c r="BJ1095" s="431"/>
    </row>
    <row r="1096" spans="1:62" ht="10.5" hidden="1">
      <c r="A1096" s="440" t="s">
        <v>4883</v>
      </c>
      <c r="B1096" s="440" t="s">
        <v>61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6820</v>
      </c>
      <c r="K1096" s="432"/>
      <c r="L1096" s="432"/>
      <c r="M1096" s="431" t="s">
        <v>6273</v>
      </c>
      <c r="N1096" s="462">
        <v>45809</v>
      </c>
      <c r="O1096" s="432" t="s">
        <v>4526</v>
      </c>
      <c r="P1096" s="432" t="s">
        <v>195</v>
      </c>
      <c r="Q1096" s="432" t="s">
        <v>196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±1200mm</v>
      </c>
      <c r="T1096" s="443">
        <v>450</v>
      </c>
      <c r="U1096" s="1212" cm="1">
        <f t="array" ref="U1096">53352-fx_qty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10">
        <f>PV_DATA[[#This Row],[QUANTITY]]/PV_DATA[[#This Row],[Qty/CT]]</f>
        <v>0</v>
      </c>
      <c r="Y1096" s="432" t="s">
        <v>6650</v>
      </c>
      <c r="Z1096" s="431" t="str">
        <f t="shared" si="26"/>
        <v/>
      </c>
      <c r="AA1096" s="432"/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61</v>
      </c>
      <c r="AG1096" s="432" t="s">
        <v>61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O1096" s="432"/>
      <c r="AP1096" s="432"/>
      <c r="AQ1096" s="432"/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42"/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936</v>
      </c>
      <c r="BG1096" s="432" t="str">
        <f>_xlfn.XLOOKUP(PV_DATA[[#This Row],[New Ark SKU]],Table9[New Ark SKU],Table9[Back Glass],,0)</f>
        <v>Black glazing</v>
      </c>
      <c r="BH1096" s="432" t="str">
        <f>_xlfn.XLOOKUP(PV_DATA[[#This Row],[PORT DESTINATION]],Table12[PORT DESTINATION],Table12[Cosco Line],,0)</f>
        <v>n/a</v>
      </c>
      <c r="BJ1096" s="431"/>
    </row>
    <row r="1097" spans="1:62" ht="10.5" hidden="1">
      <c r="A1097" s="440" t="s">
        <v>6821</v>
      </c>
      <c r="B1097" s="440" t="s">
        <v>61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6273</v>
      </c>
      <c r="N1097" s="462">
        <v>45809</v>
      </c>
      <c r="O1097" s="432" t="s">
        <v>4526</v>
      </c>
      <c r="P1097" s="432" t="s">
        <v>965</v>
      </c>
      <c r="Q1097" s="432" t="s">
        <v>966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±1200mm</v>
      </c>
      <c r="T1097" s="443">
        <v>455</v>
      </c>
      <c r="U1097" s="1212" cm="1">
        <f t="array" ref="U1097">13104-fx_qty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10">
        <f>PV_DATA[[#This Row],[QUANTITY]]/PV_DATA[[#This Row],[Qty/CT]]</f>
        <v>0</v>
      </c>
      <c r="Y1097" s="432" t="s">
        <v>6650</v>
      </c>
      <c r="Z1097" s="431" t="str">
        <f t="shared" si="26"/>
        <v/>
      </c>
      <c r="AA1097" s="432"/>
      <c r="AB1097" s="442"/>
      <c r="AC1097" s="468" t="str">
        <f>IF(PV_DATA[[#This Row],[Pick-Up Date]]&lt;&gt;"",_xlfn.ISOWEEKNUM(PV_DATA[[#This Row],[Pick-Up Date]]),"")</f>
        <v/>
      </c>
      <c r="AD1097" s="432"/>
      <c r="AE1097" s="432"/>
      <c r="AF1097" s="432" t="s">
        <v>61</v>
      </c>
      <c r="AG1097" s="432" t="s">
        <v>61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O1097" s="432"/>
      <c r="AP1097" s="432"/>
      <c r="AQ1097" s="432"/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2"/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936</v>
      </c>
      <c r="BG1097" s="432" t="str">
        <f>_xlfn.XLOOKUP(PV_DATA[[#This Row],[New Ark SKU]],Table9[New Ark SKU],Table9[Back Glass],,0)</f>
        <v>Black glazing</v>
      </c>
      <c r="BH1097" s="432" t="str">
        <f>_xlfn.XLOOKUP(PV_DATA[[#This Row],[PORT DESTINATION]],Table12[PORT DESTINATION],Table12[Cosco Line],,0)</f>
        <v>n/a</v>
      </c>
      <c r="BJ1097" s="431"/>
    </row>
    <row r="1098" spans="1:62" ht="10.5" hidden="1">
      <c r="A1098" s="440" t="s">
        <v>5133</v>
      </c>
      <c r="B1098" s="440" t="s">
        <v>61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6273</v>
      </c>
      <c r="N1098" s="462">
        <v>46153</v>
      </c>
      <c r="O1098" s="432" t="s">
        <v>4526</v>
      </c>
      <c r="P1098" s="432" t="s">
        <v>1151</v>
      </c>
      <c r="Q1098" s="432" t="s">
        <v>421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±1200mm</v>
      </c>
      <c r="T1098" s="443">
        <v>505</v>
      </c>
      <c r="U1098" s="1212" cm="1">
        <f t="array" ref="U1098">24192-fx_qty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10">
        <f>PV_DATA[[#This Row],[QUANTITY]]/PV_DATA[[#This Row],[Qty/CT]]</f>
        <v>0</v>
      </c>
      <c r="Y1098" s="432" t="s">
        <v>6650</v>
      </c>
      <c r="Z1098" s="431" t="str">
        <f t="shared" si="26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61</v>
      </c>
      <c r="AG1098" s="432" t="s">
        <v>61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5051</v>
      </c>
      <c r="B1099" s="440" t="s">
        <v>111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715" t="s">
        <v>68</v>
      </c>
      <c r="I1099" s="440" t="s">
        <v>68</v>
      </c>
      <c r="J1099" s="432" t="s">
        <v>68</v>
      </c>
      <c r="K1099" s="432"/>
      <c r="L1099" s="432"/>
      <c r="M1099" s="431" t="s">
        <v>6273</v>
      </c>
      <c r="N1099" s="462" t="s">
        <v>68</v>
      </c>
      <c r="O1099" s="432" t="s">
        <v>4526</v>
      </c>
      <c r="P1099" s="431" t="s">
        <v>5052</v>
      </c>
      <c r="Q1099" s="432" t="s">
        <v>1484</v>
      </c>
      <c r="R1099" s="432" t="str">
        <f>_xlfn.XLOOKUP(PV_DATA[[#This Row],[New Ark SKU]],Table9[New Ark SKU],Table9[Connector],,0)</f>
        <v>H4(Com)</v>
      </c>
      <c r="S1099" s="443" t="str">
        <f>_xlfn.XLOOKUP(PV_DATA[[#This Row],[New Ark SKU]],Table9[New Ark SKU],Table9[Cable],,0)</f>
        <v>+400mm/-200mm</v>
      </c>
      <c r="T1099" s="443">
        <v>725</v>
      </c>
      <c r="U1099" s="1212" cm="1">
        <f t="array" ref="U1099">35046-fx_qty</f>
        <v>0</v>
      </c>
      <c r="V1099" s="445">
        <f>PV_DATA[[#This Row],[QUANTITY]]*PV_DATA[[#This Row],[WATT]]/1000000</f>
        <v>0</v>
      </c>
      <c r="W1099" s="436">
        <f>PV_DATA[[#This Row],[QUANTITY]]/PV_DATA[[#This Row],[Qty/Pallet]]</f>
        <v>0</v>
      </c>
      <c r="X1099" s="1110">
        <f>PV_DATA[[#This Row],[QUANTITY]]/PV_DATA[[#This Row],[Qty/CT]]</f>
        <v>0</v>
      </c>
      <c r="Y1099" s="432" t="s">
        <v>6650</v>
      </c>
      <c r="Z1099" s="431" t="str">
        <f t="shared" si="26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67"/>
      <c r="AE1099" s="467"/>
      <c r="AF1099" s="432" t="s">
        <v>122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33</v>
      </c>
      <c r="BF1099" s="432">
        <f>_xlfn.XLOOKUP(PV_DATA[[#This Row],[New Ark SKU]],Table9[New Ark SKU],Table9[Total PCS per 40HQ Container],,0)</f>
        <v>594</v>
      </c>
      <c r="BG1099" s="432" t="str">
        <f>_xlfn.XLOOKUP(PV_DATA[[#This Row],[New Ark SKU]],Table9[New Ark SKU],Table9[Back Glass],,0)</f>
        <v>Transparent</v>
      </c>
      <c r="BH1099" s="432" t="str">
        <f>_xlfn.XLOOKUP(PV_DATA[[#This Row],[PORT DESTINATION]],Table12[PORT DESTINATION],Table12[Cosco Line],,0)</f>
        <v>n/a</v>
      </c>
      <c r="BJ1099" s="431"/>
    </row>
    <row r="1100" spans="1:62" s="432" customFormat="1" hidden="1">
      <c r="A1100" s="440" t="s">
        <v>4829</v>
      </c>
      <c r="B1100" s="440" t="s">
        <v>111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M1100" s="431" t="s">
        <v>6273</v>
      </c>
      <c r="N1100" s="462" t="s">
        <v>68</v>
      </c>
      <c r="O1100" s="432" t="s">
        <v>4481</v>
      </c>
      <c r="P1100" s="432" t="s">
        <v>4482</v>
      </c>
      <c r="Q1100" s="432" t="s">
        <v>4483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±1400mm</v>
      </c>
      <c r="T1100" s="443">
        <v>640</v>
      </c>
      <c r="U1100" s="1212" cm="1">
        <f t="array" ref="U1100">6480-fx_qty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10">
        <f>PV_DATA[[#This Row],[QUANTITY]]/PV_DATA[[#This Row],[Qty/CT]]</f>
        <v>0</v>
      </c>
      <c r="Y1100" s="431" t="s">
        <v>6650</v>
      </c>
      <c r="Z1100" s="431" t="str">
        <f t="shared" si="26"/>
        <v/>
      </c>
      <c r="AB1100" s="442"/>
      <c r="AC1100" s="468" t="str">
        <f>IF(PV_DATA[[#This Row],[Pick-Up Date]]&lt;&gt;"",_xlfn.ISOWEEKNUM(PV_DATA[[#This Row],[Pick-Up Date]]),"")</f>
        <v/>
      </c>
      <c r="AF1100" s="432" t="s">
        <v>4418</v>
      </c>
      <c r="AG1100" s="432" t="s">
        <v>123</v>
      </c>
      <c r="AH1100" s="432" t="s">
        <v>105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36</v>
      </c>
      <c r="BF1100" s="432">
        <f>_xlfn.XLOOKUP(PV_DATA[[#This Row],[New Ark SKU]],Table9[New Ark SKU],Table9[Total PCS per 40HQ Container],,0)</f>
        <v>720</v>
      </c>
      <c r="BG1100" s="432" t="str">
        <f>_xlfn.XLOOKUP(PV_DATA[[#This Row],[New Ark SKU]],Table9[New Ark SKU],Table9[Back Glass],,0)</f>
        <v>Transparent</v>
      </c>
      <c r="BH1100" s="432" t="str">
        <f>_xlfn.XLOOKUP(PV_DATA[[#This Row],[PORT DESTINATION]],Table12[PORT DESTINATION],Table12[Cosco Line],,0)</f>
        <v>AEU</v>
      </c>
    </row>
    <row r="1101" spans="1:62" s="432" customFormat="1" hidden="1">
      <c r="A1101" s="440" t="s">
        <v>6822</v>
      </c>
      <c r="B1101" s="440" t="s">
        <v>111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M1101" s="431" t="s">
        <v>6273</v>
      </c>
      <c r="N1101" s="462" t="s">
        <v>68</v>
      </c>
      <c r="O1101" s="432" t="s">
        <v>4481</v>
      </c>
      <c r="P1101" s="432" t="s">
        <v>4515</v>
      </c>
      <c r="Q1101" s="432" t="s">
        <v>4516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±1400mm</v>
      </c>
      <c r="T1101" s="443">
        <v>645</v>
      </c>
      <c r="U1101" s="1212" cm="1">
        <f t="array" ref="U1101">9360-fx_qty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10">
        <f>PV_DATA[[#This Row],[QUANTITY]]/PV_DATA[[#This Row],[Qty/CT]]</f>
        <v>0</v>
      </c>
      <c r="Y1101" s="431" t="s">
        <v>6650</v>
      </c>
      <c r="Z1101" s="431" t="str">
        <f t="shared" si="26"/>
        <v/>
      </c>
      <c r="AB1101" s="442"/>
      <c r="AC1101" s="468" t="str">
        <f>IF(PV_DATA[[#This Row],[Pick-Up Date]]&lt;&gt;"",_xlfn.ISOWEEKNUM(PV_DATA[[#This Row],[Pick-Up Date]]),"")</f>
        <v/>
      </c>
      <c r="AF1101" s="432" t="s">
        <v>4418</v>
      </c>
      <c r="AG1101" s="432" t="s">
        <v>123</v>
      </c>
      <c r="AH1101" s="432" t="s">
        <v>105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36</v>
      </c>
      <c r="BF1101" s="432">
        <f>_xlfn.XLOOKUP(PV_DATA[[#This Row],[New Ark SKU]],Table9[New Ark SKU],Table9[Total PCS per 40HQ Container],,0)</f>
        <v>720</v>
      </c>
      <c r="BG1101" s="432" t="str">
        <f>_xlfn.XLOOKUP(PV_DATA[[#This Row],[New Ark SKU]],Table9[New Ark SKU],Table9[Back Glass],,0)</f>
        <v>Transparent</v>
      </c>
      <c r="BH1101" s="432" t="str">
        <f>_xlfn.XLOOKUP(PV_DATA[[#This Row],[PORT DESTINATION]],Table12[PORT DESTINATION],Table12[Cosco Line],,0)</f>
        <v>AEU</v>
      </c>
    </row>
    <row r="1102" spans="1:62" ht="10.5" hidden="1">
      <c r="A1102" s="440" t="s">
        <v>6823</v>
      </c>
      <c r="B1102" s="440" t="s">
        <v>111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6273</v>
      </c>
      <c r="N1102" s="462">
        <v>46191</v>
      </c>
      <c r="O1102" s="432" t="s">
        <v>550</v>
      </c>
      <c r="P1102" s="432" t="s">
        <v>551</v>
      </c>
      <c r="Q1102" s="432" t="s">
        <v>2151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±1350mm</v>
      </c>
      <c r="T1102" s="443">
        <v>510</v>
      </c>
      <c r="U1102" s="1212" cm="1">
        <f t="array" ref="U1102">7920-fx_qty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10">
        <f>PV_DATA[[#This Row],[QUANTITY]]/PV_DATA[[#This Row],[Qty/CT]]</f>
        <v>0</v>
      </c>
      <c r="Y1102" s="432" t="s">
        <v>6650</v>
      </c>
      <c r="Z1102" s="431" t="str">
        <f t="shared" si="26"/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1051"/>
      <c r="AE1102" s="432"/>
      <c r="AF1102" s="432" t="s">
        <v>122</v>
      </c>
      <c r="AG1102" s="432" t="s">
        <v>123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>
        <f>IF(ISERROR(PV_DATA[[#This Row],[New Ark PO status]]),"",_xlfn.XLOOKUP(PV_DATA[[#This Row],[SPTN-PVHK New Ark PO'#]],New_Ark_Data[Purchase order Number],New_Ark_Data[Estimated time of arrival],"",0))</f>
        <v>0</v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792</v>
      </c>
      <c r="BG1102" s="432" t="str">
        <f>_xlfn.XLOOKUP(PV_DATA[[#This Row],[New Ark SKU]],Table9[New Ark SKU],Table9[Back Glass],,0)</f>
        <v>Black glazing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6824</v>
      </c>
      <c r="B1103" s="440" t="s">
        <v>111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6273</v>
      </c>
      <c r="N1103" s="462">
        <v>46199</v>
      </c>
      <c r="O1103" s="432" t="s">
        <v>550</v>
      </c>
      <c r="P1103" s="432" t="s">
        <v>2134</v>
      </c>
      <c r="Q1103" s="432" t="s">
        <v>2135</v>
      </c>
      <c r="R1103" s="432" t="str">
        <f>_xlfn.XLOOKUP(PV_DATA[[#This Row],[New Ark SKU]],Table9[New Ark SKU],Table9[Connector],,0)</f>
        <v>EVO2A</v>
      </c>
      <c r="S1103" s="443" t="str">
        <f>_xlfn.XLOOKUP(PV_DATA[[#This Row],[New Ark SKU]],Table9[New Ark SKU],Table9[Cable],,0)</f>
        <v>±1350mm</v>
      </c>
      <c r="T1103" s="443">
        <v>515</v>
      </c>
      <c r="U1103" s="1212" cm="1">
        <f t="array" ref="U1103">11880-fx_qty</f>
        <v>0</v>
      </c>
      <c r="V1103" s="435">
        <f>PV_DATA[[#This Row],[QUANTITY]]*PV_DATA[[#This Row],[WATT]]/1000000</f>
        <v>0</v>
      </c>
      <c r="W1103" s="436">
        <f>PV_DATA[[#This Row],[QUANTITY]]/PV_DATA[[#This Row],[Qty/Pallet]]</f>
        <v>0</v>
      </c>
      <c r="X1103" s="1110">
        <f>PV_DATA[[#This Row],[QUANTITY]]/PV_DATA[[#This Row],[Qty/CT]]</f>
        <v>0</v>
      </c>
      <c r="Y1103" s="432" t="s">
        <v>6650</v>
      </c>
      <c r="Z1103" s="431" t="str">
        <f t="shared" si="26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32"/>
      <c r="AE1103" s="432"/>
      <c r="AF1103" s="432" t="s">
        <v>122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>
        <v>46195</v>
      </c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03" s="442"/>
      <c r="AW1103" s="442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>
        <f>IF(ISERROR(PV_DATA[[#This Row],[New Ark PO status]]),"",_xlfn.XLOOKUP(PV_DATA[[#This Row],[SPTN-PVHK New Ark PO'#]],New_Ark_Data[Purchase order Number],New_Ark_Data[Estimated time of arrival],"",0))</f>
        <v>0</v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>
        <f>IFERROR(PV_DATA[[#This Row],[ODP ETA Port]]+PV_DATA[[#This Row],[Customs/Leg3 Assumption]],"n/a")</f>
        <v>46209</v>
      </c>
      <c r="BB1103" s="443">
        <f>YEAR(PV_DATA[[#This Row],[ETA for New Ark update]])</f>
        <v>2026</v>
      </c>
      <c r="BC1103" s="432">
        <f>MONTH(PV_DATA[[#This Row],[ETA for New Ark update]])</f>
        <v>7</v>
      </c>
      <c r="BD1103" s="432">
        <f>IFERROR(_xlfn.ISOWEEKNUM(PV_DATA[[#This Row],[ETA for New Ark update]]),0)</f>
        <v>28</v>
      </c>
      <c r="BE1103" s="432">
        <f>_xlfn.XLOOKUP(PV_DATA[[#This Row],[New Ark SKU]],Table9[New Ark SKU],Table9[Total PCS per Pallet],,0)</f>
        <v>36</v>
      </c>
      <c r="BF1103" s="432">
        <f>_xlfn.XLOOKUP(PV_DATA[[#This Row],[New Ark SKU]],Table9[New Ark SKU],Table9[Total PCS per 40HQ Container],,0)</f>
        <v>792</v>
      </c>
      <c r="BG1103" s="432" t="str">
        <f>_xlfn.XLOOKUP(PV_DATA[[#This Row],[New Ark SKU]],Table9[New Ark SKU],Table9[Back Glass],,0)</f>
        <v>Black glazing</v>
      </c>
      <c r="BH1103" s="432" t="str">
        <f>_xlfn.XLOOKUP(PV_DATA[[#This Row],[PORT DESTINATION]],Table12[PORT DESTINATION],Table12[Cosco Line],,0)</f>
        <v>n/a</v>
      </c>
      <c r="BJ1103" s="431"/>
    </row>
    <row r="1104" spans="1:62" ht="10.5" hidden="1">
      <c r="A1104" s="440" t="s">
        <v>6825</v>
      </c>
      <c r="B1104" s="440" t="s">
        <v>111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68</v>
      </c>
      <c r="K1104" s="432"/>
      <c r="L1104" s="432"/>
      <c r="M1104" s="431" t="s">
        <v>6273</v>
      </c>
      <c r="N1104" s="462">
        <v>46188</v>
      </c>
      <c r="O1104" s="432" t="s">
        <v>132</v>
      </c>
      <c r="P1104" s="432" t="s">
        <v>189</v>
      </c>
      <c r="Q1104" s="432" t="s">
        <v>190</v>
      </c>
      <c r="R1104" s="432" t="str">
        <f>_xlfn.XLOOKUP(PV_DATA[[#This Row],[New Ark SKU]],Table9[New Ark SKU],Table9[Connector],,0)</f>
        <v>EVO2A</v>
      </c>
      <c r="S1104" s="443" t="str">
        <f>_xlfn.XLOOKUP(PV_DATA[[#This Row],[New Ark SKU]],Table9[New Ark SKU],Table9[Cable],,0)</f>
        <v>±1200mm</v>
      </c>
      <c r="T1104" s="443">
        <v>465</v>
      </c>
      <c r="U1104" s="1212" cm="1">
        <f t="array" ref="U1104">7776-fx_qty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10">
        <f>PV_DATA[[#This Row],[QUANTITY]]/PV_DATA[[#This Row],[Qty/CT]]</f>
        <v>0</v>
      </c>
      <c r="Y1104" s="432" t="s">
        <v>6650</v>
      </c>
      <c r="Z1104" s="431" t="str">
        <f t="shared" si="26"/>
        <v/>
      </c>
      <c r="AA1104" s="432"/>
      <c r="AB1104" s="442"/>
      <c r="AC1104" s="468" t="str">
        <f>IF(PV_DATA[[#This Row],[Pick-Up Date]]&lt;&gt;"",_xlfn.ISOWEEKNUM(PV_DATA[[#This Row],[Pick-Up Date]]),"")</f>
        <v/>
      </c>
      <c r="AD1104" s="432"/>
      <c r="AE1104" s="432"/>
      <c r="AF1104" s="432" t="s">
        <v>122</v>
      </c>
      <c r="AG1104" s="432" t="s">
        <v>123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O1104" s="432"/>
      <c r="AP1104" s="432"/>
      <c r="AQ1104" s="432"/>
      <c r="AR1104" s="432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2"/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864</v>
      </c>
      <c r="BG1104" s="432" t="str">
        <f>_xlfn.XLOOKUP(PV_DATA[[#This Row],[New Ark SKU]],Table9[New Ark SKU],Table9[Back Glass],,0)</f>
        <v>White glazing</v>
      </c>
      <c r="BH1104" s="432" t="str">
        <f>_xlfn.XLOOKUP(PV_DATA[[#This Row],[PORT DESTINATION]],Table12[PORT DESTINATION],Table12[Cosco Line],,0)</f>
        <v>n/a</v>
      </c>
      <c r="BJ1104" s="431"/>
    </row>
    <row r="1105" spans="1:62" ht="23.25" hidden="1" customHeight="1">
      <c r="A1105" s="440" t="s">
        <v>6826</v>
      </c>
      <c r="B1105" s="440" t="s">
        <v>111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6273</v>
      </c>
      <c r="N1105" s="462">
        <v>46188</v>
      </c>
      <c r="O1105" s="432" t="s">
        <v>132</v>
      </c>
      <c r="P1105" s="432" t="s">
        <v>1062</v>
      </c>
      <c r="Q1105" s="432" t="s">
        <v>1063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470</v>
      </c>
      <c r="U1105" s="1212" cm="1">
        <f t="array" ref="U1105">24192-fx_qty</f>
        <v>0</v>
      </c>
      <c r="V1105" s="435">
        <f>PV_DATA[[#This Row],[QUANTITY]]*PV_DATA[[#This Row],[WATT]]/1000000</f>
        <v>0</v>
      </c>
      <c r="W1105" s="436">
        <f>PV_DATA[[#This Row],[QUANTITY]]/PV_DATA[[#This Row],[Qty/Pallet]]</f>
        <v>0</v>
      </c>
      <c r="X1105" s="1110">
        <f>PV_DATA[[#This Row],[QUANTITY]]/PV_DATA[[#This Row],[Qty/CT]]</f>
        <v>0</v>
      </c>
      <c r="Y1105" s="432" t="s">
        <v>6650</v>
      </c>
      <c r="Z1105" s="431" t="str">
        <f t="shared" si="26"/>
        <v/>
      </c>
      <c r="AA1105" s="432"/>
      <c r="AB1105" s="442"/>
      <c r="AC1105" s="468" t="str">
        <f>IF(PV_DATA[[#This Row],[Pick-Up Date]]&lt;&gt;"",_xlfn.ISOWEEKNUM(PV_DATA[[#This Row],[Pick-Up Date]]),"")</f>
        <v/>
      </c>
      <c r="AD1105" s="432"/>
      <c r="AE1105" s="432"/>
      <c r="AF1105" s="432" t="s">
        <v>122</v>
      </c>
      <c r="AG1105" s="432" t="s">
        <v>123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O1105" s="432"/>
      <c r="AP1105" s="432"/>
      <c r="AQ1105" s="432"/>
      <c r="AR1105" s="432"/>
      <c r="AS1105" s="432"/>
      <c r="AT1105" s="432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2"/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8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864</v>
      </c>
      <c r="BG1105" s="432" t="str">
        <f>_xlfn.XLOOKUP(PV_DATA[[#This Row],[New Ark SKU]],Table9[New Ark SKU],Table9[Back Glass],,0)</f>
        <v>White glazing</v>
      </c>
      <c r="BH1105" s="432" t="str">
        <f>_xlfn.XLOOKUP(PV_DATA[[#This Row],[PORT DESTINATION]],Table12[PORT DESTINATION],Table12[Cosco Line],,0)</f>
        <v>n/a</v>
      </c>
      <c r="BJ1105" s="431"/>
    </row>
    <row r="1106" spans="1:62" ht="10.5" hidden="1">
      <c r="A1106" s="440" t="s">
        <v>6827</v>
      </c>
      <c r="B1106" s="440" t="s">
        <v>5313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6273</v>
      </c>
      <c r="N1106" s="462" t="s">
        <v>68</v>
      </c>
      <c r="O1106" s="432" t="s">
        <v>4526</v>
      </c>
      <c r="P1106" s="432" t="s">
        <v>1461</v>
      </c>
      <c r="Q1106" s="432" t="s">
        <v>103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±1400mm</v>
      </c>
      <c r="T1106" s="443">
        <v>620</v>
      </c>
      <c r="U1106" s="1212" cm="1">
        <f t="array" ref="U1106">6480-fx_qty</f>
        <v>0</v>
      </c>
      <c r="V1106" s="435">
        <f>PV_DATA[[#This Row],[QUANTITY]]*PV_DATA[[#This Row],[WATT]]/1000000</f>
        <v>0</v>
      </c>
      <c r="W1106" s="436">
        <f>PV_DATA[[#This Row],[QUANTITY]]/PV_DATA[[#This Row],[Qty/Pallet]]</f>
        <v>0</v>
      </c>
      <c r="X1106" s="1110">
        <f>PV_DATA[[#This Row],[QUANTITY]]/PV_DATA[[#This Row],[Qty/CT]]</f>
        <v>0</v>
      </c>
      <c r="Y1106" s="432" t="s">
        <v>6650</v>
      </c>
      <c r="Z1106" s="431" t="str">
        <f t="shared" si="26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432"/>
      <c r="AE1106" s="432"/>
      <c r="AF1106" s="432" t="s">
        <v>122</v>
      </c>
      <c r="AG1106" s="432" t="s">
        <v>123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 t="str">
        <f>IF(ISERROR(PV_DATA[[#This Row],[New Ark PO status]]),"",_xlfn.XLOOKUP(PV_DATA[[#This Row],[SPTN-PVHK New Ark PO'#]],New_Ark_Data[Purchase order Number],New_Ark_Data[Estimated time of arrival],"",0))</f>
        <v/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8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720</v>
      </c>
      <c r="BG1106" s="432" t="str">
        <f>_xlfn.XLOOKUP(PV_DATA[[#This Row],[New Ark SKU]],Table9[New Ark SKU],Table9[Back Glass],,0)</f>
        <v>Redirection Film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6828</v>
      </c>
      <c r="B1107" s="440" t="s">
        <v>5313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440" t="s">
        <v>68</v>
      </c>
      <c r="I1107" s="440" t="s">
        <v>68</v>
      </c>
      <c r="J1107" s="432" t="s">
        <v>68</v>
      </c>
      <c r="K1107" s="432"/>
      <c r="L1107" s="432"/>
      <c r="M1107" s="431" t="s">
        <v>6273</v>
      </c>
      <c r="N1107" s="462" t="s">
        <v>68</v>
      </c>
      <c r="O1107" s="432" t="s">
        <v>4526</v>
      </c>
      <c r="P1107" s="432" t="s">
        <v>5097</v>
      </c>
      <c r="Q1107" s="432" t="s">
        <v>103</v>
      </c>
      <c r="R1107" s="432" t="str">
        <f>_xlfn.XLOOKUP(PV_DATA[[#This Row],[New Ark SKU]],Table9[New Ark SKU],Table9[Connector],,0)</f>
        <v>H4(Com)</v>
      </c>
      <c r="S1107" s="443" t="str">
        <f>_xlfn.XLOOKUP(PV_DATA[[#This Row],[New Ark SKU]],Table9[New Ark SKU],Table9[Cable],,0)</f>
        <v>±1400mm</v>
      </c>
      <c r="T1107" s="443">
        <v>620</v>
      </c>
      <c r="U1107" s="1212" cm="1">
        <f t="array" ref="U1107">12960-fx_qty</f>
        <v>0</v>
      </c>
      <c r="V1107" s="435">
        <f>PV_DATA[[#This Row],[QUANTITY]]*PV_DATA[[#This Row],[WATT]]/1000000</f>
        <v>0</v>
      </c>
      <c r="W1107" s="436">
        <f>PV_DATA[[#This Row],[QUANTITY]]/PV_DATA[[#This Row],[Qty/Pallet]]</f>
        <v>0</v>
      </c>
      <c r="X1107" s="1110">
        <f>PV_DATA[[#This Row],[QUANTITY]]/PV_DATA[[#This Row],[Qty/CT]]</f>
        <v>0</v>
      </c>
      <c r="Y1107" s="432" t="s">
        <v>6650</v>
      </c>
      <c r="Z1107" s="431" t="str">
        <f t="shared" si="26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32"/>
      <c r="AE1107" s="432"/>
      <c r="AF1107" s="432" t="s">
        <v>122</v>
      </c>
      <c r="AG1107" s="432" t="s">
        <v>123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/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2"/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8" t="str">
        <f>IFERROR(PV_DATA[[#This Row],[ODP ETA Port]]+PV_DATA[[#This Row],[Customs/Leg3 Assumption]],"n/a")</f>
        <v>n/a</v>
      </c>
      <c r="BB1107" s="443" t="e">
        <f>YEAR(PV_DATA[[#This Row],[ETA for New Ark update]])</f>
        <v>#VALUE!</v>
      </c>
      <c r="BC1107" s="432" t="e">
        <f>MONTH(PV_DATA[[#This Row],[ETA for New Ark update]])</f>
        <v>#VALUE!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36</v>
      </c>
      <c r="BF1107" s="432">
        <f>_xlfn.XLOOKUP(PV_DATA[[#This Row],[New Ark SKU]],Table9[New Ark SKU],Table9[Total PCS per 40HQ Container],,0)</f>
        <v>720</v>
      </c>
      <c r="BG1107" s="432" t="str">
        <f>_xlfn.XLOOKUP(PV_DATA[[#This Row],[New Ark SKU]],Table9[New Ark SKU],Table9[Back Glass],,0)</f>
        <v>Transparent</v>
      </c>
      <c r="BH1107" s="432" t="str">
        <f>_xlfn.XLOOKUP(PV_DATA[[#This Row],[PORT DESTINATION]],Table12[PORT DESTINATION],Table12[Cosco Line],,0)</f>
        <v>n/a</v>
      </c>
      <c r="BJ1107" s="431"/>
    </row>
    <row r="1108" spans="1:62" ht="10.5" hidden="1">
      <c r="A1108" s="440" t="s">
        <v>6829</v>
      </c>
      <c r="B1108" s="440" t="s">
        <v>5313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6820</v>
      </c>
      <c r="K1108" s="432"/>
      <c r="L1108" s="432"/>
      <c r="M1108" s="431" t="s">
        <v>6273</v>
      </c>
      <c r="N1108" s="462"/>
      <c r="O1108" s="432" t="s">
        <v>4526</v>
      </c>
      <c r="P1108" s="432" t="s">
        <v>5085</v>
      </c>
      <c r="Q1108" s="432" t="s">
        <v>330</v>
      </c>
      <c r="R1108" s="432" t="str">
        <f>_xlfn.XLOOKUP(PV_DATA[[#This Row],[New Ark SKU]],Table9[New Ark SKU],Table9[Connector],,0)</f>
        <v>H4(Com)</v>
      </c>
      <c r="S1108" s="443" t="str">
        <f>_xlfn.XLOOKUP(PV_DATA[[#This Row],[New Ark SKU]],Table9[New Ark SKU],Table9[Cable],,0)</f>
        <v>±1400mm</v>
      </c>
      <c r="T1108" s="443">
        <v>625</v>
      </c>
      <c r="U1108" s="1212" cm="1">
        <f t="array" ref="U1108">19440-fx_qty</f>
        <v>0</v>
      </c>
      <c r="V1108" s="435">
        <f>PV_DATA[[#This Row],[QUANTITY]]*PV_DATA[[#This Row],[WATT]]/1000000</f>
        <v>0</v>
      </c>
      <c r="W1108" s="436">
        <f>PV_DATA[[#This Row],[QUANTITY]]/PV_DATA[[#This Row],[Qty/Pallet]]</f>
        <v>0</v>
      </c>
      <c r="X1108" s="1110">
        <f>PV_DATA[[#This Row],[QUANTITY]]/PV_DATA[[#This Row],[Qty/CT]]</f>
        <v>0</v>
      </c>
      <c r="Y1108" s="432" t="s">
        <v>6650</v>
      </c>
      <c r="Z1108" s="431" t="str">
        <f t="shared" si="26"/>
        <v/>
      </c>
      <c r="AA1108" s="432"/>
      <c r="AB1108" s="442"/>
      <c r="AC1108" s="468" t="str">
        <f>IF(PV_DATA[[#This Row],[Pick-Up Date]]&lt;&gt;"",_xlfn.ISOWEEKNUM(PV_DATA[[#This Row],[Pick-Up Date]]),"")</f>
        <v/>
      </c>
      <c r="AD1108" s="432"/>
      <c r="AE1108" s="432"/>
      <c r="AF1108" s="432" t="s">
        <v>122</v>
      </c>
      <c r="AG1108" s="432" t="s">
        <v>123</v>
      </c>
      <c r="AH1108" s="432" t="s">
        <v>68</v>
      </c>
      <c r="AI1108" s="442"/>
      <c r="AJ1108" s="442"/>
      <c r="AK1108" s="438" t="str">
        <f>IFERROR(IF(VLOOKUP(AT1108,Vessel!A:F,5,FALSE)=0,"",VLOOKUP(AT1108,Vessel!A:F,5,FALSE)),"")</f>
        <v/>
      </c>
      <c r="AL1108" s="442"/>
      <c r="AM1108" s="442"/>
      <c r="AN1108" s="588" t="str">
        <f>IFERROR(IF(VLOOKUP(AT1108,Vessel!A:I,9,FALSE)=0,"",VLOOKUP(AT1108,Vessel!A:I,9,FALSE)),"")</f>
        <v/>
      </c>
      <c r="AO1108" s="432"/>
      <c r="AP1108" s="432"/>
      <c r="AQ1108" s="432"/>
      <c r="AR1108" s="432"/>
      <c r="AS1108" s="432"/>
      <c r="AT1108" s="432"/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2"/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8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720</v>
      </c>
      <c r="BG1108" s="432" t="str">
        <f>_xlfn.XLOOKUP(PV_DATA[[#This Row],[New Ark SKU]],Table9[New Ark SKU],Table9[Back Glass],,0)</f>
        <v>Transparent</v>
      </c>
      <c r="BH1108" s="432" t="str">
        <f>_xlfn.XLOOKUP(PV_DATA[[#This Row],[PORT DESTINATION]],Table12[PORT DESTINATION],Table12[Cosco Line],,0)</f>
        <v>n/a</v>
      </c>
      <c r="BJ1108" s="431"/>
    </row>
    <row r="1109" spans="1:62" ht="10.5" hidden="1">
      <c r="A1109" s="440" t="s">
        <v>6830</v>
      </c>
      <c r="B1109" s="440" t="s">
        <v>61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68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0" t="s">
        <v>68</v>
      </c>
      <c r="H1109" s="440" t="s">
        <v>68</v>
      </c>
      <c r="I1109" s="440" t="s">
        <v>68</v>
      </c>
      <c r="J1109" s="432" t="s">
        <v>68</v>
      </c>
      <c r="K1109" s="432"/>
      <c r="L1109" s="432"/>
      <c r="M1109" s="431" t="s">
        <v>6273</v>
      </c>
      <c r="N1109" s="462">
        <v>46188</v>
      </c>
      <c r="O1109" s="432" t="s">
        <v>4526</v>
      </c>
      <c r="P1109" s="432" t="s">
        <v>195</v>
      </c>
      <c r="Q1109" s="432" t="s">
        <v>196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±1200mm</v>
      </c>
      <c r="T1109" s="443">
        <v>450</v>
      </c>
      <c r="U1109" s="1212" cm="1">
        <f t="array" ref="U1109">17784-fx_qty</f>
        <v>0</v>
      </c>
      <c r="V1109" s="449">
        <f>PV_DATA[[#This Row],[QUANTITY]]*PV_DATA[[#This Row],[WATT]]/1000000</f>
        <v>0</v>
      </c>
      <c r="W1109" s="467">
        <f>PV_DATA[[#This Row],[QUANTITY]]/PV_DATA[[#This Row],[Qty/Pallet]]</f>
        <v>0</v>
      </c>
      <c r="X1109" s="1114">
        <f>PV_DATA[[#This Row],[QUANTITY]]/PV_DATA[[#This Row],[Qty/CT]]</f>
        <v>0</v>
      </c>
      <c r="Y1109" s="432" t="s">
        <v>6650</v>
      </c>
      <c r="Z1109" s="431" t="str">
        <f t="shared" si="26"/>
        <v/>
      </c>
      <c r="AA1109" s="432"/>
      <c r="AB1109" s="442"/>
      <c r="AC1109" s="468" t="str">
        <f>IF(PV_DATA[[#This Row],[Pick-Up Date]]&lt;&gt;"",_xlfn.ISOWEEKNUM(PV_DATA[[#This Row],[Pick-Up Date]]),"")</f>
        <v/>
      </c>
      <c r="AD1109" s="432"/>
      <c r="AE1109" s="432"/>
      <c r="AF1109" s="432" t="s">
        <v>61</v>
      </c>
      <c r="AG1109" s="432" t="s">
        <v>61</v>
      </c>
      <c r="AH1109" s="432" t="s">
        <v>68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O1109" s="432"/>
      <c r="AP1109" s="432"/>
      <c r="AQ1109" s="432"/>
      <c r="AR1109" s="432"/>
      <c r="AS1109" s="432"/>
      <c r="AT1109" s="432"/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2"/>
      <c r="AW1109" s="442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2" t="str">
        <f>IFERROR(PV_DATA[[#This Row],[ODP ETA Port]]+PV_DATA[[#This Row],[Customs/Leg3 Assumption]],"n/a")</f>
        <v>n/a</v>
      </c>
      <c r="BB1109" s="443" t="e">
        <f>YEAR(PV_DATA[[#This Row],[ETA for New Ark update]])</f>
        <v>#VALUE!</v>
      </c>
      <c r="BC1109" s="432" t="e">
        <f>MONTH(PV_DATA[[#This Row],[ETA for New Ark update]])</f>
        <v>#VALUE!</v>
      </c>
      <c r="BD1109" s="432">
        <f>IFERROR(_xlfn.ISOWEEKNUM(PV_DATA[[#This Row],[ETA for New Ark update]]),0)</f>
        <v>0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936</v>
      </c>
      <c r="BG1109" s="432" t="str">
        <f>_xlfn.XLOOKUP(PV_DATA[[#This Row],[New Ark SKU]],Table9[New Ark SKU],Table9[Back Glass],,0)</f>
        <v>Black glazing</v>
      </c>
      <c r="BH1109" s="432" t="str">
        <f>_xlfn.XLOOKUP(PV_DATA[[#This Row],[PORT DESTINATION]],Table12[PORT DESTINATION],Table12[Cosco Line],,0)</f>
        <v>n/a</v>
      </c>
      <c r="BJ1109" s="431"/>
    </row>
    <row r="1110" spans="1:62" ht="10.5" hidden="1">
      <c r="A1110" s="440" t="s">
        <v>6831</v>
      </c>
      <c r="B1110" s="440" t="s">
        <v>61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68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0" t="s">
        <v>68</v>
      </c>
      <c r="H1110" s="440" t="s">
        <v>68</v>
      </c>
      <c r="I1110" s="440" t="s">
        <v>68</v>
      </c>
      <c r="J1110" s="432" t="s">
        <v>68</v>
      </c>
      <c r="K1110" s="432"/>
      <c r="L1110" s="432"/>
      <c r="M1110" s="431" t="s">
        <v>6273</v>
      </c>
      <c r="N1110" s="462">
        <v>46188</v>
      </c>
      <c r="O1110" s="432" t="s">
        <v>4526</v>
      </c>
      <c r="P1110" s="432" t="s">
        <v>965</v>
      </c>
      <c r="Q1110" s="432" t="s">
        <v>966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±1200mm</v>
      </c>
      <c r="T1110" s="443">
        <v>455</v>
      </c>
      <c r="U1110" s="1212" cm="1">
        <f t="array" ref="U1110">4680-fx_qty</f>
        <v>0</v>
      </c>
      <c r="V1110" s="449">
        <f>PV_DATA[[#This Row],[QUANTITY]]*PV_DATA[[#This Row],[WATT]]/1000000</f>
        <v>0</v>
      </c>
      <c r="W1110" s="467">
        <f>PV_DATA[[#This Row],[QUANTITY]]/PV_DATA[[#This Row],[Qty/Pallet]]</f>
        <v>0</v>
      </c>
      <c r="X1110" s="1114">
        <f>PV_DATA[[#This Row],[QUANTITY]]/PV_DATA[[#This Row],[Qty/CT]]</f>
        <v>0</v>
      </c>
      <c r="Y1110" s="432" t="s">
        <v>6650</v>
      </c>
      <c r="Z1110" s="431" t="str">
        <f t="shared" si="26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432"/>
      <c r="AE1110" s="432"/>
      <c r="AF1110" s="432" t="s">
        <v>61</v>
      </c>
      <c r="AG1110" s="432" t="s">
        <v>61</v>
      </c>
      <c r="AH1110" s="432" t="s">
        <v>68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2" t="str">
        <f>IFERROR(PV_DATA[[#This Row],[ODP ETA Port]]+PV_DATA[[#This Row],[Customs/Leg3 Assumption]],"n/a")</f>
        <v>n/a</v>
      </c>
      <c r="BB1110" s="443" t="e">
        <f>YEAR(PV_DATA[[#This Row],[ETA for New Ark update]])</f>
        <v>#VALUE!</v>
      </c>
      <c r="BC1110" s="432" t="e">
        <f>MONTH(PV_DATA[[#This Row],[ETA for New Ark update]])</f>
        <v>#VALUE!</v>
      </c>
      <c r="BD1110" s="432">
        <f>IFERROR(_xlfn.ISOWEEKNUM(PV_DATA[[#This Row],[ETA for New Ark update]]),0)</f>
        <v>0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936</v>
      </c>
      <c r="BG1110" s="432" t="str">
        <f>_xlfn.XLOOKUP(PV_DATA[[#This Row],[New Ark SKU]],Table9[New Ark SKU],Table9[Back Glass],,0)</f>
        <v>Black glazing</v>
      </c>
      <c r="BH1110" s="432" t="str">
        <f>_xlfn.XLOOKUP(PV_DATA[[#This Row],[PORT DESTINATION]],Table12[PORT DESTINATION],Table12[Cosco Line],,0)</f>
        <v>n/a</v>
      </c>
      <c r="BJ1110" s="431"/>
    </row>
    <row r="1111" spans="1:62" ht="10.5" hidden="1">
      <c r="A1111" s="440" t="s">
        <v>6832</v>
      </c>
      <c r="B1111" s="440" t="s">
        <v>1757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</v>
      </c>
      <c r="J1111" s="432" t="s">
        <v>68</v>
      </c>
      <c r="K1111" s="432"/>
      <c r="L1111" s="432"/>
      <c r="M1111" s="431" t="s">
        <v>6273</v>
      </c>
      <c r="N1111" s="462">
        <v>46195</v>
      </c>
      <c r="O1111" s="432" t="s">
        <v>4526</v>
      </c>
      <c r="P1111" s="432" t="s">
        <v>71</v>
      </c>
      <c r="Q1111" s="432" t="s">
        <v>72</v>
      </c>
      <c r="R1111" s="432" t="str">
        <f>_xlfn.XLOOKUP(PV_DATA[[#This Row],[New Ark SKU]],Table9[New Ark SKU],Table9[Connector],,0)</f>
        <v>EVO2A</v>
      </c>
      <c r="S1111" s="443" t="str">
        <f>_xlfn.XLOOKUP(PV_DATA[[#This Row],[New Ark SKU]],Table9[New Ark SKU],Table9[Cable],,0)</f>
        <v>±1200mm</v>
      </c>
      <c r="T1111" s="443">
        <v>500</v>
      </c>
      <c r="U1111" s="1212" cm="1">
        <f t="array" ref="U1111">31968-fx_qty</f>
        <v>0</v>
      </c>
      <c r="V1111" s="449">
        <f>PV_DATA[[#This Row],[QUANTITY]]*PV_DATA[[#This Row],[WATT]]/1000000</f>
        <v>0</v>
      </c>
      <c r="W1111" s="467">
        <f>PV_DATA[[#This Row],[QUANTITY]]/PV_DATA[[#This Row],[Qty/Pallet]]</f>
        <v>0</v>
      </c>
      <c r="X1111" s="1114">
        <f>PV_DATA[[#This Row],[QUANTITY]]/PV_DATA[[#This Row],[Qty/CT]]</f>
        <v>0</v>
      </c>
      <c r="Y1111" s="432" t="s">
        <v>6650</v>
      </c>
      <c r="Z1111" s="431" t="str">
        <f t="shared" si="26"/>
        <v/>
      </c>
      <c r="AA1111" s="432"/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48" t="s">
        <v>1525</v>
      </c>
      <c r="AG1111" s="448" t="s">
        <v>1525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/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32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2"/>
      <c r="AW1111" s="442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2" t="str">
        <f>IFERROR(PV_DATA[[#This Row],[ODP ETA Port]]+PV_DATA[[#This Row],[Customs/Leg3 Assumption]],"n/a")</f>
        <v>n/a</v>
      </c>
      <c r="BB1111" s="443" t="e">
        <f>YEAR(PV_DATA[[#This Row],[ETA for New Ark update]])</f>
        <v>#VALUE!</v>
      </c>
      <c r="BC1111" s="432" t="e">
        <f>MONTH(PV_DATA[[#This Row],[ETA for New Ark update]])</f>
        <v>#VALUE!</v>
      </c>
      <c r="BD1111" s="432">
        <f>IFERROR(_xlfn.ISOWEEKNUM(PV_DATA[[#This Row],[ETA for New Ark update]]),0)</f>
        <v>0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864</v>
      </c>
      <c r="BG1111" s="432" t="str">
        <f>_xlfn.XLOOKUP(PV_DATA[[#This Row],[New Ark SKU]],Table9[New Ark SKU],Table9[Back Glass],,0)</f>
        <v>Black glazing</v>
      </c>
      <c r="BH1111" s="432" t="str">
        <f>_xlfn.XLOOKUP(PV_DATA[[#This Row],[PORT DESTINATION]],Table12[PORT DESTINATION],Table12[Cosco Line],,0)</f>
        <v>n/a</v>
      </c>
      <c r="BJ1111" s="431"/>
    </row>
    <row r="1112" spans="1:62" ht="12" hidden="1" customHeight="1">
      <c r="A1112" s="440" t="s">
        <v>6833</v>
      </c>
      <c r="B1112" s="440" t="s">
        <v>1757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K1112" s="432"/>
      <c r="L1112" s="432"/>
      <c r="M1112" s="431" t="s">
        <v>6273</v>
      </c>
      <c r="N1112" s="462">
        <v>46195</v>
      </c>
      <c r="O1112" s="432" t="s">
        <v>4526</v>
      </c>
      <c r="P1112" s="432" t="s">
        <v>1151</v>
      </c>
      <c r="Q1112" s="432" t="s">
        <v>421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505</v>
      </c>
      <c r="U1112" s="1212" cm="1">
        <f t="array" ref="U1112">47520-fx_qty</f>
        <v>0</v>
      </c>
      <c r="V1112" s="449">
        <f>PV_DATA[[#This Row],[QUANTITY]]*PV_DATA[[#This Row],[WATT]]/1000000</f>
        <v>0</v>
      </c>
      <c r="W1112" s="467">
        <f>PV_DATA[[#This Row],[QUANTITY]]/PV_DATA[[#This Row],[Qty/Pallet]]</f>
        <v>0</v>
      </c>
      <c r="X1112" s="1114">
        <f>PV_DATA[[#This Row],[QUANTITY]]/PV_DATA[[#This Row],[Qty/CT]]</f>
        <v>0</v>
      </c>
      <c r="Y1112" s="432" t="s">
        <v>6650</v>
      </c>
      <c r="Z1112" s="431" t="str">
        <f t="shared" si="26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48" t="s">
        <v>1525</v>
      </c>
      <c r="AG1112" s="448" t="s">
        <v>1525</v>
      </c>
      <c r="AH1112" s="432" t="s">
        <v>68</v>
      </c>
      <c r="AI1112" s="442"/>
      <c r="AJ1112" s="442"/>
      <c r="AK1112" s="438"/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32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864</v>
      </c>
      <c r="BG1112" s="432" t="str">
        <f>_xlfn.XLOOKUP(PV_DATA[[#This Row],[New Ark SKU]],Table9[New Ark SKU],Table9[Back Glass],,0)</f>
        <v>Black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 hidden="1">
      <c r="A1113" s="440" t="s">
        <v>6834</v>
      </c>
      <c r="B1113" s="440" t="s">
        <v>61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64</v>
      </c>
      <c r="F1113" s="463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3" s="440" t="s">
        <v>402</v>
      </c>
      <c r="H1113" s="440" t="s">
        <v>67</v>
      </c>
      <c r="I1113" s="440" t="s">
        <v>689</v>
      </c>
      <c r="J1113" s="432" t="s">
        <v>96</v>
      </c>
      <c r="K1113" s="432"/>
      <c r="L1113" s="432"/>
      <c r="M1113" s="431" t="s">
        <v>6273</v>
      </c>
      <c r="N1113" s="462">
        <v>46209</v>
      </c>
      <c r="O1113" s="432" t="s">
        <v>4526</v>
      </c>
      <c r="P1113" s="432" t="s">
        <v>706</v>
      </c>
      <c r="Q1113" s="432" t="s">
        <v>707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500</v>
      </c>
      <c r="U1113" s="1212" cm="1">
        <f t="array" ref="U1113">15552-fx_qty</f>
        <v>0</v>
      </c>
      <c r="V1113" s="449">
        <f>PV_DATA[[#This Row],[QUANTITY]]*PV_DATA[[#This Row],[WATT]]/1000000</f>
        <v>0</v>
      </c>
      <c r="W1113" s="467">
        <f>PV_DATA[[#This Row],[QUANTITY]]/PV_DATA[[#This Row],[Qty/Pallet]]</f>
        <v>0</v>
      </c>
      <c r="X1113" s="1114">
        <f>PV_DATA[[#This Row],[QUANTITY]]/PV_DATA[[#This Row],[Qty/CT]]</f>
        <v>0</v>
      </c>
      <c r="Y1113" s="432" t="s">
        <v>6650</v>
      </c>
      <c r="Z1113" s="431" t="str">
        <f t="shared" si="26"/>
        <v/>
      </c>
      <c r="AA1113" s="432"/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61</v>
      </c>
      <c r="AG1113" s="432" t="s">
        <v>61</v>
      </c>
      <c r="AH1113" s="432" t="s">
        <v>78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32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2"/>
      <c r="AW1113" s="442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3" s="442">
        <f>IFERROR(PV_DATA[[#This Row],[ODP ETA Port]]+PV_DATA[[#This Row],[Customs/Leg3 Assumption]],"n/a")</f>
        <v>46349</v>
      </c>
      <c r="BB1113" s="443">
        <f>YEAR(PV_DATA[[#This Row],[ETA for New Ark update]])</f>
        <v>2026</v>
      </c>
      <c r="BC1113" s="432">
        <f>MONTH(PV_DATA[[#This Row],[ETA for New Ark update]])</f>
        <v>11</v>
      </c>
      <c r="BD1113" s="432">
        <f>IFERROR(_xlfn.ISOWEEKNUM(PV_DATA[[#This Row],[ETA for New Ark update]]),0)</f>
        <v>48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864</v>
      </c>
      <c r="BG1113" s="432" t="str">
        <f>_xlfn.XLOOKUP(PV_DATA[[#This Row],[New Ark SKU]],Table9[New Ark SKU],Table9[Back Glass],,0)</f>
        <v>Black glazing</v>
      </c>
      <c r="BH1113" s="432" t="str">
        <f>_xlfn.XLOOKUP(PV_DATA[[#This Row],[PORT DESTINATION]],Table12[PORT DESTINATION],Table12[Cosco Line],,0)</f>
        <v>AEM</v>
      </c>
      <c r="BJ1113" s="431"/>
    </row>
    <row r="1114" spans="1:62" ht="10.5" hidden="1">
      <c r="A1114" s="440" t="s">
        <v>6835</v>
      </c>
      <c r="B1114" s="440" t="s">
        <v>61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64</v>
      </c>
      <c r="F1114" s="463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40" t="s">
        <v>402</v>
      </c>
      <c r="H1114" s="440" t="s">
        <v>67</v>
      </c>
      <c r="I1114" s="440" t="s">
        <v>689</v>
      </c>
      <c r="J1114" s="432" t="s">
        <v>96</v>
      </c>
      <c r="K1114" s="432"/>
      <c r="L1114" s="432"/>
      <c r="M1114" s="431" t="s">
        <v>6273</v>
      </c>
      <c r="N1114" s="462">
        <v>46209</v>
      </c>
      <c r="O1114" s="432" t="s">
        <v>4526</v>
      </c>
      <c r="P1114" s="432" t="s">
        <v>691</v>
      </c>
      <c r="Q1114" s="432" t="s">
        <v>692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±1200mm</v>
      </c>
      <c r="T1114" s="443">
        <v>505</v>
      </c>
      <c r="U1114" s="1212" cm="1">
        <f t="array" ref="U1114">24192-fx_qty</f>
        <v>0</v>
      </c>
      <c r="V1114" s="435">
        <f>PV_DATA[[#This Row],[QUANTITY]]*PV_DATA[[#This Row],[WATT]]/1000000</f>
        <v>0</v>
      </c>
      <c r="W1114" s="467">
        <f>PV_DATA[[#This Row],[QUANTITY]]/PV_DATA[[#This Row],[Qty/Pallet]]</f>
        <v>0</v>
      </c>
      <c r="X1114" s="1114">
        <f>PV_DATA[[#This Row],[QUANTITY]]/PV_DATA[[#This Row],[Qty/CT]]</f>
        <v>0</v>
      </c>
      <c r="Y1114" s="432" t="s">
        <v>6650</v>
      </c>
      <c r="Z1114" s="431" t="str">
        <f t="shared" si="26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61</v>
      </c>
      <c r="AG1114" s="432" t="s">
        <v>61</v>
      </c>
      <c r="AH1114" s="432" t="s">
        <v>78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32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2"/>
      <c r="AW1114" s="44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8">
        <f>IFERROR(PV_DATA[[#This Row],[ODP ETA Port]]+PV_DATA[[#This Row],[Customs/Leg3 Assumption]],"n/a")</f>
        <v>46349</v>
      </c>
      <c r="BB1114" s="443">
        <f>YEAR(PV_DATA[[#This Row],[ETA for New Ark update]])</f>
        <v>2026</v>
      </c>
      <c r="BC1114" s="432">
        <f>MONTH(PV_DATA[[#This Row],[ETA for New Ark update]])</f>
        <v>11</v>
      </c>
      <c r="BD1114" s="432">
        <f>IFERROR(_xlfn.ISOWEEKNUM(PV_DATA[[#This Row],[ETA for New Ark update]]),0)</f>
        <v>48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864</v>
      </c>
      <c r="BG1114" s="432" t="str">
        <f>_xlfn.XLOOKUP(PV_DATA[[#This Row],[New Ark SKU]],Table9[New Ark SKU],Table9[Back Glass],,0)</f>
        <v>Black glazing</v>
      </c>
      <c r="BH1114" s="432" t="str">
        <f>_xlfn.XLOOKUP(PV_DATA[[#This Row],[PORT DESTINATION]],Table12[PORT DESTINATION],Table12[Cosco Line],,0)</f>
        <v>AEM</v>
      </c>
      <c r="BJ1114" s="431"/>
    </row>
    <row r="1115" spans="1:62" ht="10.5" hidden="1">
      <c r="A1115" s="440" t="s">
        <v>6836</v>
      </c>
      <c r="B1115" s="440" t="s">
        <v>111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689</v>
      </c>
      <c r="J1115" s="432" t="s">
        <v>68</v>
      </c>
      <c r="K1115" s="432"/>
      <c r="L1115" s="432"/>
      <c r="M1115" s="431" t="s">
        <v>6273</v>
      </c>
      <c r="N1115" s="462">
        <v>46202</v>
      </c>
      <c r="O1115" s="432" t="s">
        <v>5374</v>
      </c>
      <c r="P1115" s="431" t="s">
        <v>5395</v>
      </c>
      <c r="Q1115" s="432" t="s">
        <v>5396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±1200mm</v>
      </c>
      <c r="T1115" s="443">
        <v>465</v>
      </c>
      <c r="U1115" s="1212" cm="1">
        <f t="array" ref="U1115">34632-fx_qty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14">
        <f>PV_DATA[[#This Row],[QUANTITY]]/PV_DATA[[#This Row],[Qty/CT]]</f>
        <v>0</v>
      </c>
      <c r="Y1115" s="432" t="s">
        <v>6650</v>
      </c>
      <c r="Z1115" s="431" t="str">
        <f t="shared" si="26"/>
        <v/>
      </c>
      <c r="AA1115" s="432" t="s">
        <v>6837</v>
      </c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122</v>
      </c>
      <c r="AG1115" s="432" t="s">
        <v>123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46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936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 hidden="1">
      <c r="A1116" s="440" t="s">
        <v>6838</v>
      </c>
      <c r="B1116" s="440" t="s">
        <v>111</v>
      </c>
      <c r="C1116" s="440" t="str">
        <f>IFERROR(LEFT(PV_DATA[[#This Row],[TCL REFERENCE]],FIND(".",PV_DATA[[#This Row],[TCL REFERENCE]],1)-1),"Main Line")</f>
        <v>Main Line</v>
      </c>
      <c r="D1116" s="440" t="s">
        <v>63</v>
      </c>
      <c r="E1116" s="440" t="s">
        <v>68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68</v>
      </c>
      <c r="H1116" s="440" t="s">
        <v>68</v>
      </c>
      <c r="I1116" s="440" t="s">
        <v>68</v>
      </c>
      <c r="J1116" s="432" t="s">
        <v>68</v>
      </c>
      <c r="K1116" s="432"/>
      <c r="L1116" s="432"/>
      <c r="M1116" s="431" t="s">
        <v>6273</v>
      </c>
      <c r="N1116" s="462">
        <v>46202</v>
      </c>
      <c r="O1116" s="432" t="s">
        <v>5374</v>
      </c>
      <c r="P1116" s="431" t="s">
        <v>5375</v>
      </c>
      <c r="Q1116" s="432" t="s">
        <v>5376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±1200mm</v>
      </c>
      <c r="T1116" s="443">
        <v>470</v>
      </c>
      <c r="U1116" s="1212" cm="1">
        <f t="array" ref="U1116">8424-fx_qty</f>
        <v>0</v>
      </c>
      <c r="V1116" s="449">
        <f>PV_DATA[[#This Row],[QUANTITY]]*PV_DATA[[#This Row],[WATT]]/1000000</f>
        <v>0</v>
      </c>
      <c r="W1116" s="467">
        <f>PV_DATA[[#This Row],[QUANTITY]]/PV_DATA[[#This Row],[Qty/Pallet]]</f>
        <v>0</v>
      </c>
      <c r="X1116" s="1114">
        <f>PV_DATA[[#This Row],[QUANTITY]]/PV_DATA[[#This Row],[Qty/CT]]</f>
        <v>0</v>
      </c>
      <c r="Y1116" s="432" t="s">
        <v>6650</v>
      </c>
      <c r="Z1116" s="431" t="str">
        <f t="shared" si="26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122</v>
      </c>
      <c r="AG1116" s="432" t="s">
        <v>123</v>
      </c>
      <c r="AH1116" s="432" t="s">
        <v>68</v>
      </c>
      <c r="AI1116" s="442"/>
      <c r="AJ1116" s="442"/>
      <c r="AK1116" s="438" t="str">
        <f>IFERROR(IF(VLOOKUP(AT1116,Vessel!A:F,5,FALSE)=0,"",VLOOKUP(AT1116,Vessel!A:F,5,FALSE)),"")</f>
        <v/>
      </c>
      <c r="AL1116" s="442"/>
      <c r="AM1116" s="442"/>
      <c r="AN1116" s="588" t="str">
        <f>IFERROR(IF(VLOOKUP(AT1116,Vessel!A:I,9,FALSE)=0,"",VLOOKUP(AT1116,Vessel!A:I,9,FALSE)),"")</f>
        <v/>
      </c>
      <c r="AO1116" s="432"/>
      <c r="AP1116" s="432"/>
      <c r="AQ1116" s="446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2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936</v>
      </c>
      <c r="BG1116" s="432" t="str">
        <f>_xlfn.XLOOKUP(PV_DATA[[#This Row],[New Ark SKU]],Table9[New Ark SKU],Table9[Back Glass],,0)</f>
        <v>Black glazing</v>
      </c>
      <c r="BH1116" s="432" t="str">
        <f>_xlfn.XLOOKUP(PV_DATA[[#This Row],[PORT DESTINATION]],Table12[PORT DESTINATION],Table12[Cosco Line],,0)</f>
        <v>n/a</v>
      </c>
      <c r="BJ1116" s="431"/>
    </row>
    <row r="1117" spans="1:62" ht="10.5" hidden="1">
      <c r="A1117" s="440" t="s">
        <v>6839</v>
      </c>
      <c r="B1117" s="440" t="s">
        <v>111</v>
      </c>
      <c r="C1117" s="440" t="str">
        <f>IFERROR(LEFT(PV_DATA[[#This Row],[TCL REFERENCE]],FIND(".",PV_DATA[[#This Row],[TCL REFERENCE]],1)-1),"Main Line")</f>
        <v>Main Line</v>
      </c>
      <c r="D1117" s="440" t="s">
        <v>63</v>
      </c>
      <c r="E1117" s="440" t="s">
        <v>68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68</v>
      </c>
      <c r="H1117" s="440" t="s">
        <v>68</v>
      </c>
      <c r="I1117" s="440" t="s">
        <v>68</v>
      </c>
      <c r="J1117" s="432" t="s">
        <v>68</v>
      </c>
      <c r="K1117" s="432"/>
      <c r="L1117" s="432"/>
      <c r="M1117" s="431" t="s">
        <v>6273</v>
      </c>
      <c r="N1117" s="462">
        <v>46202</v>
      </c>
      <c r="O1117" s="432" t="s">
        <v>5331</v>
      </c>
      <c r="P1117" s="431" t="s">
        <v>5332</v>
      </c>
      <c r="Q1117" s="432" t="s">
        <v>5333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±1400mm</v>
      </c>
      <c r="T1117" s="443">
        <v>580</v>
      </c>
      <c r="U1117" s="1224" cm="1">
        <f t="array" ref="U1117">11520-fx_qty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14">
        <f>PV_DATA[[#This Row],[QUANTITY]]/PV_DATA[[#This Row],[Qty/CT]]</f>
        <v>0</v>
      </c>
      <c r="Y1117" s="432" t="s">
        <v>6650</v>
      </c>
      <c r="Z1117" s="431" t="str">
        <f t="shared" si="26"/>
        <v/>
      </c>
      <c r="AA1117" s="432" t="s">
        <v>5645</v>
      </c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122</v>
      </c>
      <c r="AG1117" s="432" t="s">
        <v>123</v>
      </c>
      <c r="AH1117" s="432" t="s">
        <v>68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446"/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2"/>
      <c r="AW1117" s="442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>
        <f>IF(ISERROR(PV_DATA[[#This Row],[New Ark PO status]]),"",_xlfn.XLOOKUP(PV_DATA[[#This Row],[SPTN-PVHK New Ark PO'#]],New_Ark_Data[Purchase order Number],New_Ark_Data[Estimated time of arrival],"",0))</f>
        <v>0</v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>IFERROR(PV_DATA[[#This Row],[ODP ETA Port]]+PV_DATA[[#This Row],[Customs/Leg3 Assumption]],"n/a")</f>
        <v>n/a</v>
      </c>
      <c r="BB1117" s="443" t="e">
        <f>YEAR(PV_DATA[[#This Row],[ETA for New Ark update]])</f>
        <v>#VALUE!</v>
      </c>
      <c r="BC1117" s="432" t="e">
        <f>MONTH(PV_DATA[[#This Row],[ETA for New Ark update]])</f>
        <v>#VALUE!</v>
      </c>
      <c r="BD1117" s="432">
        <f>IFERROR(_xlfn.ISOWEEKNUM(PV_DATA[[#This Row],[ETA for New Ark update]]),0)</f>
        <v>0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720</v>
      </c>
      <c r="BG1117" s="432" t="str">
        <f>_xlfn.XLOOKUP(PV_DATA[[#This Row],[New Ark SKU]],Table9[New Ark SKU],Table9[Back Glass],,0)</f>
        <v>Transparent</v>
      </c>
      <c r="BH1117" s="432" t="str">
        <f>_xlfn.XLOOKUP(PV_DATA[[#This Row],[PORT DESTINATION]],Table12[PORT DESTINATION],Table12[Cosco Line],,0)</f>
        <v>n/a</v>
      </c>
      <c r="BJ1117" s="431"/>
    </row>
    <row r="1118" spans="1:62" ht="10.5" hidden="1">
      <c r="A1118" s="440" t="s">
        <v>6840</v>
      </c>
      <c r="B1118" s="440" t="s">
        <v>111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6273</v>
      </c>
      <c r="N1118" s="462">
        <v>46202</v>
      </c>
      <c r="O1118" s="432" t="s">
        <v>5331</v>
      </c>
      <c r="P1118" s="431" t="s">
        <v>5550</v>
      </c>
      <c r="Q1118" s="432" t="s">
        <v>5551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±1400mm</v>
      </c>
      <c r="T1118" s="443">
        <v>585</v>
      </c>
      <c r="U1118" s="1224" cm="1">
        <f t="array" ref="U1118">5760-fx_qty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14">
        <f>PV_DATA[[#This Row],[QUANTITY]]/720</f>
        <v>0</v>
      </c>
      <c r="Y1118" s="432" t="s">
        <v>6650</v>
      </c>
      <c r="Z1118" s="431" t="str">
        <f t="shared" si="26"/>
        <v/>
      </c>
      <c r="AA1118" s="432" t="s">
        <v>5645</v>
      </c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122</v>
      </c>
      <c r="AG1118" s="432" t="s">
        <v>123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46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720</v>
      </c>
      <c r="BG1118" s="432" t="str">
        <f>_xlfn.XLOOKUP(PV_DATA[[#This Row],[New Ark SKU]],Table9[New Ark SKU],Table9[Back Glass],,0)</f>
        <v>Transparent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 hidden="1">
      <c r="A1119" s="440" t="s">
        <v>6841</v>
      </c>
      <c r="B1119" s="440" t="s">
        <v>61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</v>
      </c>
      <c r="J1119" s="432" t="s">
        <v>68</v>
      </c>
      <c r="K1119" s="432"/>
      <c r="L1119" s="432"/>
      <c r="M1119" s="431" t="s">
        <v>6273</v>
      </c>
      <c r="N1119" s="462">
        <v>46202</v>
      </c>
      <c r="O1119" s="432" t="s">
        <v>284</v>
      </c>
      <c r="P1119" s="486" t="s">
        <v>6157</v>
      </c>
      <c r="Q1119" s="432" t="s">
        <v>1570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±1400mm</v>
      </c>
      <c r="T1119" s="443">
        <v>650</v>
      </c>
      <c r="U1119" s="1212" cm="1">
        <f t="array" ref="U1119">28800-fx_qty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14">
        <f>PV_DATA[[#This Row],[QUANTITY]]/PV_DATA[[#This Row],[Qty/CT]]</f>
        <v>0</v>
      </c>
      <c r="Y1119" s="432" t="s">
        <v>6650</v>
      </c>
      <c r="Z1119" s="431" t="str">
        <f t="shared" si="26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32" t="s">
        <v>61</v>
      </c>
      <c r="AG1119" s="432" t="s">
        <v>61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720</v>
      </c>
      <c r="BG1119" s="432" t="str">
        <f>_xlfn.XLOOKUP(PV_DATA[[#This Row],[New Ark SKU]],Table9[New Ark SKU],Table9[Back Glass],,0)</f>
        <v>White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 hidden="1">
      <c r="A1120" s="440" t="s">
        <v>6842</v>
      </c>
      <c r="B1120" s="440" t="s">
        <v>61</v>
      </c>
      <c r="C1120" s="440" t="str">
        <f>IFERROR(LEFT(PV_DATA[[#This Row],[TCL REFERENCE]],FIND(".",PV_DATA[[#This Row],[TCL REFERENCE]],1)-1),"Main Line")</f>
        <v>26Jun021</v>
      </c>
      <c r="D1120" s="440" t="s">
        <v>63</v>
      </c>
      <c r="E1120" s="440" t="s">
        <v>64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0" t="s">
        <v>402</v>
      </c>
      <c r="H1120" s="440" t="s">
        <v>67</v>
      </c>
      <c r="I1120" s="440" t="s">
        <v>689</v>
      </c>
      <c r="J1120" s="432" t="s">
        <v>96</v>
      </c>
      <c r="K1120" s="432"/>
      <c r="L1120" s="432"/>
      <c r="M1120" s="431" t="s">
        <v>6273</v>
      </c>
      <c r="N1120" s="462">
        <v>46202</v>
      </c>
      <c r="O1120" s="432" t="s">
        <v>284</v>
      </c>
      <c r="P1120" s="486" t="s">
        <v>6157</v>
      </c>
      <c r="Q1120" s="432" t="s">
        <v>1570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±1400mm</v>
      </c>
      <c r="T1120" s="443">
        <v>650</v>
      </c>
      <c r="U1120" s="1212">
        <f>720*8</f>
        <v>5760</v>
      </c>
      <c r="V1120" s="449">
        <f>PV_DATA[[#This Row],[QUANTITY]]*PV_DATA[[#This Row],[WATT]]/1000000</f>
        <v>3.7440000000000002</v>
      </c>
      <c r="W1120" s="467">
        <f>PV_DATA[[#This Row],[QUANTITY]]/PV_DATA[[#This Row],[Qty/Pallet]]</f>
        <v>160</v>
      </c>
      <c r="X1120" s="1114">
        <f>PV_DATA[[#This Row],[QUANTITY]]/PV_DATA[[#This Row],[Qty/CT]]</f>
        <v>8</v>
      </c>
      <c r="Y1120" s="432" t="s">
        <v>2467</v>
      </c>
      <c r="Z1120" s="431" t="str">
        <f t="shared" ref="Z1120:Z1152" si="27">IF(AN1120&lt;&gt;"","COMPLETED",IF(AK1120&lt;&gt;"","IN-TRANSIT",""))</f>
        <v/>
      </c>
      <c r="AA1120" s="954" t="s">
        <v>6379</v>
      </c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32" t="s">
        <v>61</v>
      </c>
      <c r="AG1120" s="432" t="s">
        <v>61</v>
      </c>
      <c r="AH1120" s="432" t="s">
        <v>105</v>
      </c>
      <c r="AI1120" s="442">
        <v>46284</v>
      </c>
      <c r="AJ1120" s="442"/>
      <c r="AK1120" s="438" t="str">
        <f>IFERROR(IF(VLOOKUP(AT1120,Vessel!A:F,5,FALSE)=0,"",VLOOKUP(AT1120,Vessel!A:F,5,FALSE)),"")</f>
        <v/>
      </c>
      <c r="AL1120" s="438">
        <v>46329</v>
      </c>
      <c r="AM1120" s="442"/>
      <c r="AN1120" s="588" t="str">
        <f>IFERROR(IF(VLOOKUP(AT1120,Vessel!A:I,9,FALSE)=0,"",VLOOKUP(AT1120,Vessel!A:I,9,FALSE)),"")</f>
        <v/>
      </c>
      <c r="AO1120" s="431" t="s">
        <v>402</v>
      </c>
      <c r="AP1120" s="432" t="s">
        <v>6843</v>
      </c>
      <c r="AQ1120" s="1126" t="s">
        <v>80</v>
      </c>
      <c r="AR1120" s="432" t="s">
        <v>6844</v>
      </c>
      <c r="AS1120" s="432" t="s">
        <v>6845</v>
      </c>
      <c r="AT1120" s="432" t="s">
        <v>6845</v>
      </c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20" s="432"/>
      <c r="AW1120" s="442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2">
        <f>IFERROR(PV_DATA[[#This Row],[ODP ETA Port]]+PV_DATA[[#This Row],[Customs/Leg3 Assumption]],"n/a")</f>
        <v>46336</v>
      </c>
      <c r="BB1120" s="443">
        <f>YEAR(PV_DATA[[#This Row],[ETA for New Ark update]])</f>
        <v>2026</v>
      </c>
      <c r="BC1120" s="432">
        <f>MONTH(PV_DATA[[#This Row],[ETA for New Ark update]])</f>
        <v>11</v>
      </c>
      <c r="BD1120" s="432">
        <f>IFERROR(_xlfn.ISOWEEKNUM(PV_DATA[[#This Row],[ETA for New Ark update]]),0)</f>
        <v>46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720</v>
      </c>
      <c r="BG1120" s="432" t="str">
        <f>_xlfn.XLOOKUP(PV_DATA[[#This Row],[New Ark SKU]],Table9[New Ark SKU],Table9[Back Glass],,0)</f>
        <v>White glazing</v>
      </c>
      <c r="BH1120" s="432" t="str">
        <f>_xlfn.XLOOKUP(PV_DATA[[#This Row],[PORT DESTINATION]],Table12[PORT DESTINATION],Table12[Cosco Line],,0)</f>
        <v>AEU</v>
      </c>
      <c r="BJ1120" s="431"/>
    </row>
    <row r="1121" spans="1:62" ht="10.5" hidden="1">
      <c r="A1121" s="440" t="s">
        <v>6846</v>
      </c>
      <c r="B1121" s="440" t="s">
        <v>61</v>
      </c>
      <c r="C1121" s="440" t="str">
        <f>IFERROR(LEFT(PV_DATA[[#This Row],[TCL REFERENCE]],FIND(".",PV_DATA[[#This Row],[TCL REFERENCE]],1)-1),"Main Line")</f>
        <v>26Jun021</v>
      </c>
      <c r="D1121" s="440" t="s">
        <v>63</v>
      </c>
      <c r="E1121" s="440" t="s">
        <v>64</v>
      </c>
      <c r="F1121" s="440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0" t="s">
        <v>402</v>
      </c>
      <c r="H1121" s="440" t="s">
        <v>67</v>
      </c>
      <c r="I1121" s="440" t="s">
        <v>689</v>
      </c>
      <c r="J1121" s="432" t="s">
        <v>96</v>
      </c>
      <c r="K1121" s="432"/>
      <c r="L1121" s="432"/>
      <c r="M1121" s="431" t="s">
        <v>6273</v>
      </c>
      <c r="N1121" s="462">
        <v>46202</v>
      </c>
      <c r="O1121" s="432" t="s">
        <v>284</v>
      </c>
      <c r="P1121" s="486" t="s">
        <v>6157</v>
      </c>
      <c r="Q1121" s="432" t="s">
        <v>1570</v>
      </c>
      <c r="R1121" s="432" t="str">
        <f>_xlfn.XLOOKUP(PV_DATA[[#This Row],[New Ark SKU]],Table9[New Ark SKU],Table9[Connector],,0)</f>
        <v>EVO2A</v>
      </c>
      <c r="S1121" s="443" t="str">
        <f>_xlfn.XLOOKUP(PV_DATA[[#This Row],[New Ark SKU]],Table9[New Ark SKU],Table9[Cable],,0)</f>
        <v>±1400mm</v>
      </c>
      <c r="T1121" s="443">
        <v>650</v>
      </c>
      <c r="U1121" s="1212">
        <f>720*4</f>
        <v>2880</v>
      </c>
      <c r="V1121" s="449">
        <f>PV_DATA[[#This Row],[QUANTITY]]*PV_DATA[[#This Row],[WATT]]/1000000</f>
        <v>1.8720000000000001</v>
      </c>
      <c r="W1121" s="467">
        <f>PV_DATA[[#This Row],[QUANTITY]]/PV_DATA[[#This Row],[Qty/Pallet]]</f>
        <v>80</v>
      </c>
      <c r="X1121" s="1114">
        <f>PV_DATA[[#This Row],[QUANTITY]]/PV_DATA[[#This Row],[Qty/CT]]</f>
        <v>4</v>
      </c>
      <c r="Y1121" s="432" t="s">
        <v>2467</v>
      </c>
      <c r="Z1121" s="431" t="str">
        <f t="shared" si="27"/>
        <v/>
      </c>
      <c r="AA1121" s="954" t="s">
        <v>6379</v>
      </c>
      <c r="AB1121" s="442"/>
      <c r="AC1121" s="468" t="str">
        <f>IF(PV_DATA[[#This Row],[Pick-Up Date]]&lt;&gt;"",_xlfn.ISOWEEKNUM(PV_DATA[[#This Row],[Pick-Up Date]]),"")</f>
        <v/>
      </c>
      <c r="AD1121" s="432"/>
      <c r="AE1121" s="432"/>
      <c r="AF1121" s="432" t="s">
        <v>61</v>
      </c>
      <c r="AG1121" s="432" t="s">
        <v>61</v>
      </c>
      <c r="AH1121" s="432" t="s">
        <v>105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8" t="str">
        <f>IFERROR(IF(VLOOKUP(AT1121,Vessel!A:I,9,FALSE)=0,"",VLOOKUP(AT1121,Vessel!A:I,9,FALSE)),"")</f>
        <v/>
      </c>
      <c r="AO1121" s="432"/>
      <c r="AP1121" s="432"/>
      <c r="AQ1121" s="1126" t="s">
        <v>80</v>
      </c>
      <c r="AR1121" s="432"/>
      <c r="AS1121" s="432"/>
      <c r="AT1121" s="432"/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2"/>
      <c r="AW1121" s="442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 t="str">
        <f>IF(ISERROR(PV_DATA[[#This Row],[New Ark PO status]]),"",_xlfn.XLOOKUP(PV_DATA[[#This Row],[SPTN-PVHK New Ark PO'#]],New_Ark_Data[Purchase order Number],New_Ark_Data[Estimated time of arrival],"",0))</f>
        <v/>
      </c>
      <c r="AZ11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2">
        <f>IFERROR(PV_DATA[[#This Row],[ODP ETA Port]]+PV_DATA[[#This Row],[Customs/Leg3 Assumption]],"n/a")</f>
        <v>46353</v>
      </c>
      <c r="BB1121" s="443">
        <f>YEAR(PV_DATA[[#This Row],[ETA for New Ark update]])</f>
        <v>2026</v>
      </c>
      <c r="BC1121" s="432">
        <f>MONTH(PV_DATA[[#This Row],[ETA for New Ark update]])</f>
        <v>11</v>
      </c>
      <c r="BD1121" s="432">
        <f>IFERROR(_xlfn.ISOWEEKNUM(PV_DATA[[#This Row],[ETA for New Ark update]]),0)</f>
        <v>48</v>
      </c>
      <c r="BE1121" s="432">
        <f>_xlfn.XLOOKUP(PV_DATA[[#This Row],[New Ark SKU]],Table9[New Ark SKU],Table9[Total PCS per Pallet],,0)</f>
        <v>36</v>
      </c>
      <c r="BF1121" s="432">
        <f>_xlfn.XLOOKUP(PV_DATA[[#This Row],[New Ark SKU]],Table9[New Ark SKU],Table9[Total PCS per 40HQ Container],,0)</f>
        <v>720</v>
      </c>
      <c r="BG1121" s="432" t="str">
        <f>_xlfn.XLOOKUP(PV_DATA[[#This Row],[New Ark SKU]],Table9[New Ark SKU],Table9[Back Glass],,0)</f>
        <v>White glazing</v>
      </c>
      <c r="BH1121" s="432" t="str">
        <f>_xlfn.XLOOKUP(PV_DATA[[#This Row],[PORT DESTINATION]],Table12[PORT DESTINATION],Table12[Cosco Line],,0)</f>
        <v>AEU</v>
      </c>
      <c r="BJ1121" s="431"/>
    </row>
    <row r="1122" spans="1:62" ht="10.5" hidden="1">
      <c r="A1122" s="440" t="s">
        <v>6847</v>
      </c>
      <c r="B1122" s="440" t="s">
        <v>61</v>
      </c>
      <c r="C1122" s="440" t="str">
        <f>IFERROR(LEFT(PV_DATA[[#This Row],[TCL REFERENCE]],FIND(".",PV_DATA[[#This Row],[TCL REFERENCE]],1)-1),"Main Line")</f>
        <v>Main Line</v>
      </c>
      <c r="D1122" s="440" t="s">
        <v>63</v>
      </c>
      <c r="E1122" s="440" t="s">
        <v>68</v>
      </c>
      <c r="F1122" s="440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0" t="s">
        <v>68</v>
      </c>
      <c r="H1122" s="440" t="s">
        <v>68</v>
      </c>
      <c r="I1122" s="440" t="s">
        <v>68</v>
      </c>
      <c r="J1122" s="432" t="s">
        <v>68</v>
      </c>
      <c r="K1122" s="432"/>
      <c r="L1122" s="432"/>
      <c r="M1122" s="431" t="s">
        <v>6273</v>
      </c>
      <c r="N1122" s="462">
        <v>46202</v>
      </c>
      <c r="O1122" s="432" t="s">
        <v>284</v>
      </c>
      <c r="P1122" s="463" t="s">
        <v>5340</v>
      </c>
      <c r="Q1122" s="432" t="s">
        <v>5341</v>
      </c>
      <c r="R1122" s="432" t="str">
        <f>_xlfn.XLOOKUP(PV_DATA[[#This Row],[New Ark SKU]],Table9[New Ark SKU],Table9[Connector],,0)</f>
        <v>EVO2A</v>
      </c>
      <c r="S1122" s="443" t="str">
        <f>_xlfn.XLOOKUP(PV_DATA[[#This Row],[New Ark SKU]],Table9[New Ark SKU],Table9[Cable],,0)</f>
        <v>±1400mm</v>
      </c>
      <c r="T1122" s="443">
        <v>655</v>
      </c>
      <c r="U1122" s="1212" cm="1">
        <f t="array" ref="U1122">3600-fx_qty</f>
        <v>0</v>
      </c>
      <c r="V1122" s="449">
        <f>PV_DATA[[#This Row],[QUANTITY]]*PV_DATA[[#This Row],[WATT]]/1000000</f>
        <v>0</v>
      </c>
      <c r="W1122" s="467">
        <f>PV_DATA[[#This Row],[QUANTITY]]/PV_DATA[[#This Row],[Qty/Pallet]]</f>
        <v>0</v>
      </c>
      <c r="X1122" s="1114">
        <f>PV_DATA[[#This Row],[QUANTITY]]/PV_DATA[[#This Row],[Qty/CT]]</f>
        <v>0</v>
      </c>
      <c r="Y1122" s="432" t="s">
        <v>6650</v>
      </c>
      <c r="Z1122" s="431" t="str">
        <f t="shared" si="27"/>
        <v/>
      </c>
      <c r="AA1122" s="432"/>
      <c r="AB1122" s="442"/>
      <c r="AC1122" s="468" t="str">
        <f>IF(PV_DATA[[#This Row],[Pick-Up Date]]&lt;&gt;"",_xlfn.ISOWEEKNUM(PV_DATA[[#This Row],[Pick-Up Date]]),"")</f>
        <v/>
      </c>
      <c r="AD1122" s="432"/>
      <c r="AE1122" s="432"/>
      <c r="AF1122" s="432" t="s">
        <v>61</v>
      </c>
      <c r="AG1122" s="432" t="s">
        <v>61</v>
      </c>
      <c r="AH1122" s="432" t="s">
        <v>68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8" t="str">
        <f>IFERROR(IF(VLOOKUP(AT1122,Vessel!A:I,9,FALSE)=0,"",VLOOKUP(AT1122,Vessel!A:I,9,FALSE)),"")</f>
        <v/>
      </c>
      <c r="AO1122" s="432"/>
      <c r="AP1122" s="432"/>
      <c r="AQ1122" s="446"/>
      <c r="AR1122" s="432"/>
      <c r="AS1122" s="432"/>
      <c r="AT1122" s="432"/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2"/>
      <c r="AW1122" s="442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>IF(ISERROR(PV_DATA[[#This Row],[New Ark PO status]]),"",_xlfn.XLOOKUP(PV_DATA[[#This Row],[SPTN-PVHK New Ark PO'#]],New_Ark_Data[Purchase order Number],New_Ark_Data[Estimated time of arrival],"",0))</f>
        <v/>
      </c>
      <c r="AZ11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2" t="str">
        <f>IFERROR(PV_DATA[[#This Row],[ODP ETA Port]]+PV_DATA[[#This Row],[Customs/Leg3 Assumption]],"n/a")</f>
        <v>n/a</v>
      </c>
      <c r="BB1122" s="443" t="e">
        <f>YEAR(PV_DATA[[#This Row],[ETA for New Ark update]])</f>
        <v>#VALUE!</v>
      </c>
      <c r="BC1122" s="432" t="e">
        <f>MONTH(PV_DATA[[#This Row],[ETA for New Ark update]])</f>
        <v>#VALUE!</v>
      </c>
      <c r="BD1122" s="432">
        <f>IFERROR(_xlfn.ISOWEEKNUM(PV_DATA[[#This Row],[ETA for New Ark update]]),0)</f>
        <v>0</v>
      </c>
      <c r="BE1122" s="432">
        <f>_xlfn.XLOOKUP(PV_DATA[[#This Row],[New Ark SKU]],Table9[New Ark SKU],Table9[Total PCS per Pallet],,0)</f>
        <v>36</v>
      </c>
      <c r="BF1122" s="432">
        <f>_xlfn.XLOOKUP(PV_DATA[[#This Row],[New Ark SKU]],Table9[New Ark SKU],Table9[Total PCS per 40HQ Container],,0)</f>
        <v>720</v>
      </c>
      <c r="BG1122" s="432" t="str">
        <f>_xlfn.XLOOKUP(PV_DATA[[#This Row],[New Ark SKU]],Table9[New Ark SKU],Table9[Back Glass],,0)</f>
        <v>White glazing</v>
      </c>
      <c r="BH1122" s="432" t="str">
        <f>_xlfn.XLOOKUP(PV_DATA[[#This Row],[PORT DESTINATION]],Table12[PORT DESTINATION],Table12[Cosco Line],,0)</f>
        <v>n/a</v>
      </c>
      <c r="BJ1122" s="431"/>
    </row>
    <row r="1123" spans="1:62" ht="10.5" hidden="1">
      <c r="A1123" s="440" t="s">
        <v>6848</v>
      </c>
      <c r="B1123" s="440" t="s">
        <v>111</v>
      </c>
      <c r="C1123" s="440" t="str">
        <f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</v>
      </c>
      <c r="J1123" s="432" t="s">
        <v>68</v>
      </c>
      <c r="K1123" s="432"/>
      <c r="L1123" s="432"/>
      <c r="M1123" s="431" t="s">
        <v>6273</v>
      </c>
      <c r="N1123" s="462">
        <v>46209</v>
      </c>
      <c r="O1123" s="431" t="s">
        <v>70</v>
      </c>
      <c r="P1123" s="431" t="s">
        <v>5744</v>
      </c>
      <c r="Q1123" s="432" t="s">
        <v>1484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±1400mm</v>
      </c>
      <c r="T1123" s="443">
        <v>725</v>
      </c>
      <c r="U1123" s="1212" cm="1">
        <f t="array" ref="U1123">11880-fx_qty</f>
        <v>0</v>
      </c>
      <c r="V1123" s="449">
        <f>PV_DATA[[#This Row],[QUANTITY]]*PV_DATA[[#This Row],[WATT]]/1000000</f>
        <v>0</v>
      </c>
      <c r="W1123" s="467">
        <f>PV_DATA[[#This Row],[QUANTITY]]/PV_DATA[[#This Row],[Qty/Pallet]]</f>
        <v>0</v>
      </c>
      <c r="X1123" s="1110">
        <f>PV_DATA[[#This Row],[QUANTITY]]/PV_DATA[[#This Row],[Qty/CT]]</f>
        <v>0</v>
      </c>
      <c r="Y1123" s="432" t="s">
        <v>6650</v>
      </c>
      <c r="Z1123" s="431" t="str">
        <f t="shared" si="27"/>
        <v/>
      </c>
      <c r="AA1123" s="432"/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122</v>
      </c>
      <c r="AG1123" s="432" t="s">
        <v>123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8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>
        <f>IF(ISERROR(PV_DATA[[#This Row],[New Ark PO status]]),"",_xlfn.XLOOKUP(PV_DATA[[#This Row],[SPTN-PVHK New Ark PO'#]],New_Ark_Data[Purchase order Number],New_Ark_Data[Estimated time of arrival],"",0))</f>
        <v>0</v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>IFERROR(PV_DATA[[#This Row],[ODP ETA Port]]+PV_DATA[[#This Row],[Customs/Leg3 Assumption]],"n/a")</f>
        <v>n/a</v>
      </c>
      <c r="BB1123" s="443" t="e">
        <f>YEAR(PV_DATA[[#This Row],[ETA for New Ark update]])</f>
        <v>#VALUE!</v>
      </c>
      <c r="BC1123" s="432" t="e">
        <f>MONTH(PV_DATA[[#This Row],[ETA for New Ark update]])</f>
        <v>#VALUE!</v>
      </c>
      <c r="BD1123" s="432">
        <f>IFERROR(_xlfn.ISOWEEKNUM(PV_DATA[[#This Row],[ETA for New Ark update]]),0)</f>
        <v>0</v>
      </c>
      <c r="BE1123" s="432">
        <f>_xlfn.XLOOKUP(PV_DATA[[#This Row],[New Ark SKU]],Table9[New Ark SKU],Table9[Total PCS per Pallet],,0)</f>
        <v>33</v>
      </c>
      <c r="BF1123" s="432">
        <f>_xlfn.XLOOKUP(PV_DATA[[#This Row],[New Ark SKU]],Table9[New Ark SKU],Table9[Total PCS per 40HQ Container],,0)</f>
        <v>594</v>
      </c>
      <c r="BG1123" s="432" t="str">
        <f>_xlfn.XLOOKUP(PV_DATA[[#This Row],[New Ark SKU]],Table9[New Ark SKU],Table9[Back Glass],,0)</f>
        <v>Transparent</v>
      </c>
      <c r="BH1123" s="432" t="str">
        <f>_xlfn.XLOOKUP(PV_DATA[[#This Row],[PORT DESTINATION]],Table12[PORT DESTINATION],Table12[Cosco Line],,0)</f>
        <v>n/a</v>
      </c>
      <c r="BJ1123" s="431"/>
    </row>
    <row r="1124" spans="1:62" ht="10.5" hidden="1">
      <c r="A1124" s="440" t="s">
        <v>6849</v>
      </c>
      <c r="B1124" s="440" t="s">
        <v>111</v>
      </c>
      <c r="C1124" s="440" t="str">
        <f>IFERROR(LEFT(PV_DATA[[#This Row],[TCL REFERENCE]],FIND(".",PV_DATA[[#This Row],[TCL REFERENCE]],1)-1),"Main Line")</f>
        <v>Main Line</v>
      </c>
      <c r="D1124" s="440" t="s">
        <v>63</v>
      </c>
      <c r="E1124" s="440" t="s">
        <v>68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0" t="s">
        <v>68</v>
      </c>
      <c r="H1124" s="440" t="s">
        <v>68</v>
      </c>
      <c r="I1124" s="440" t="s">
        <v>68</v>
      </c>
      <c r="J1124" s="432" t="s">
        <v>68</v>
      </c>
      <c r="K1124" s="432"/>
      <c r="L1124" s="432"/>
      <c r="M1124" s="431" t="s">
        <v>6273</v>
      </c>
      <c r="N1124" s="462">
        <v>46209</v>
      </c>
      <c r="O1124" s="431" t="s">
        <v>70</v>
      </c>
      <c r="P1124" s="431" t="s">
        <v>1681</v>
      </c>
      <c r="Q1124" s="432" t="s">
        <v>1682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±1400mm</v>
      </c>
      <c r="T1124" s="443">
        <v>730</v>
      </c>
      <c r="U1124" s="1212" cm="1">
        <f t="array" ref="U1124">1782-fx_qty</f>
        <v>0</v>
      </c>
      <c r="V1124" s="449">
        <f>PV_DATA[[#This Row],[QUANTITY]]*PV_DATA[[#This Row],[WATT]]/1000000</f>
        <v>0</v>
      </c>
      <c r="W1124" s="467">
        <f>PV_DATA[[#This Row],[QUANTITY]]/PV_DATA[[#This Row],[Qty/Pallet]]</f>
        <v>0</v>
      </c>
      <c r="X1124" s="1110">
        <f>PV_DATA[[#This Row],[QUANTITY]]/PV_DATA[[#This Row],[Qty/CT]]</f>
        <v>0</v>
      </c>
      <c r="Y1124" s="432" t="s">
        <v>6650</v>
      </c>
      <c r="Z1124" s="431" t="str">
        <f t="shared" si="27"/>
        <v/>
      </c>
      <c r="AA1124" s="432"/>
      <c r="AB1124" s="442"/>
      <c r="AC1124" s="468" t="str">
        <f>IF(PV_DATA[[#This Row],[Pick-Up Date]]&lt;&gt;"",_xlfn.ISOWEEKNUM(PV_DATA[[#This Row],[Pick-Up Date]]),"")</f>
        <v/>
      </c>
      <c r="AD1124" s="432"/>
      <c r="AE1124" s="432"/>
      <c r="AF1124" s="432" t="s">
        <v>122</v>
      </c>
      <c r="AG1124" s="432" t="s">
        <v>123</v>
      </c>
      <c r="AH1124" s="432" t="s">
        <v>68</v>
      </c>
      <c r="AI1124" s="442"/>
      <c r="AJ1124" s="442"/>
      <c r="AK1124" s="438" t="str">
        <f>IFERROR(IF(VLOOKUP(AT1124,Vessel!A:F,5,FALSE)=0,"",VLOOKUP(AT1124,Vessel!A:F,5,FALSE)),"")</f>
        <v/>
      </c>
      <c r="AL1124" s="442"/>
      <c r="AM1124" s="442"/>
      <c r="AN1124" s="588" t="str">
        <f>IFERROR(IF(VLOOKUP(AT1124,Vessel!A:I,9,FALSE)=0,"",VLOOKUP(AT1124,Vessel!A:I,9,FALSE)),"")</f>
        <v/>
      </c>
      <c r="AO1124" s="432"/>
      <c r="AP1124" s="432"/>
      <c r="AQ1124" s="446"/>
      <c r="AR1124" s="432"/>
      <c r="AS1124" s="432"/>
      <c r="AT1124" s="432"/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2" t="str">
        <f>IFERROR(PV_DATA[[#This Row],[ODP ETA Port]]+PV_DATA[[#This Row],[Customs/Leg3 Assumption]],"n/a")</f>
        <v>n/a</v>
      </c>
      <c r="BB1124" s="443" t="e">
        <f>YEAR(PV_DATA[[#This Row],[ETA for New Ark update]])</f>
        <v>#VALUE!</v>
      </c>
      <c r="BC1124" s="432" t="e">
        <f>MONTH(PV_DATA[[#This Row],[ETA for New Ark update]])</f>
        <v>#VALUE!</v>
      </c>
      <c r="BD1124" s="432">
        <f>IFERROR(_xlfn.ISOWEEKNUM(PV_DATA[[#This Row],[ETA for New Ark update]]),0)</f>
        <v>0</v>
      </c>
      <c r="BE1124" s="432">
        <f>_xlfn.XLOOKUP(PV_DATA[[#This Row],[New Ark SKU]],Table9[New Ark SKU],Table9[Total PCS per Pallet],,0)</f>
        <v>33</v>
      </c>
      <c r="BF1124" s="432">
        <f>_xlfn.XLOOKUP(PV_DATA[[#This Row],[New Ark SKU]],Table9[New Ark SKU],Table9[Total PCS per 40HQ Container],,0)</f>
        <v>594</v>
      </c>
      <c r="BG1124" s="432" t="str">
        <f>_xlfn.XLOOKUP(PV_DATA[[#This Row],[New Ark SKU]],Table9[New Ark SKU],Table9[Back Glass],,0)</f>
        <v>Transparent</v>
      </c>
      <c r="BH1124" s="432" t="str">
        <f>_xlfn.XLOOKUP(PV_DATA[[#This Row],[PORT DESTINATION]],Table12[PORT DESTINATION],Table12[Cosco Line],,0)</f>
        <v>n/a</v>
      </c>
      <c r="BJ1124" s="431"/>
    </row>
    <row r="1125" spans="1:62" ht="10.5" hidden="1">
      <c r="A1125" s="463" t="s">
        <v>6850</v>
      </c>
      <c r="B1125" s="447" t="s">
        <v>6707</v>
      </c>
      <c r="C1125" s="463" t="str">
        <f>IFERROR(LEFT(PV_DATA[[#This Row],[TCL REFERENCE]],FIND(".",PV_DATA[[#This Row],[TCL REFERENCE]],1)-1),"Main Line")</f>
        <v>26Aug006</v>
      </c>
      <c r="D1125" s="463" t="s">
        <v>63</v>
      </c>
      <c r="E1125" s="463" t="s">
        <v>64</v>
      </c>
      <c r="F1125" s="46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463" t="s">
        <v>402</v>
      </c>
      <c r="H1125" s="463" t="s">
        <v>67</v>
      </c>
      <c r="I1125" s="440" t="s">
        <v>882</v>
      </c>
      <c r="J1125" s="431" t="s">
        <v>96</v>
      </c>
      <c r="K1125" s="431"/>
      <c r="L1125" s="431"/>
      <c r="M1125" s="431" t="s">
        <v>6273</v>
      </c>
      <c r="N1125" s="433">
        <v>46258</v>
      </c>
      <c r="O1125" s="431" t="s">
        <v>4526</v>
      </c>
      <c r="P1125" s="431" t="s">
        <v>691</v>
      </c>
      <c r="Q1125" s="431" t="s">
        <v>692</v>
      </c>
      <c r="R1125" s="431" t="str">
        <f>_xlfn.XLOOKUP(PV_DATA[[#This Row],[New Ark SKU]],Table9[New Ark SKU],Table9[Connector],,0)</f>
        <v>EVO2A</v>
      </c>
      <c r="S1125" s="434" t="str">
        <f>_xlfn.XLOOKUP(PV_DATA[[#This Row],[New Ark SKU]],Table9[New Ark SKU],Table9[Cable],,0)</f>
        <v>±1200mm</v>
      </c>
      <c r="T1125" s="434">
        <v>505</v>
      </c>
      <c r="U1125" s="1207">
        <v>864</v>
      </c>
      <c r="V1125" s="435">
        <f>PV_DATA[[#This Row],[QUANTITY]]*PV_DATA[[#This Row],[WATT]]/1000000</f>
        <v>0.43631999999999999</v>
      </c>
      <c r="W1125" s="436">
        <f>PV_DATA[[#This Row],[QUANTITY]]/PV_DATA[[#This Row],[Qty/Pallet]]</f>
        <v>24</v>
      </c>
      <c r="X1125" s="1110">
        <f>PV_DATA[[#This Row],[QUANTITY]]/PV_DATA[[#This Row],[Qty/CT]]</f>
        <v>1</v>
      </c>
      <c r="Y1125" s="431" t="s">
        <v>2465</v>
      </c>
      <c r="Z1125" s="431" t="str">
        <f t="shared" si="27"/>
        <v/>
      </c>
      <c r="AA1125" s="547">
        <v>46274</v>
      </c>
      <c r="AB1125" s="438">
        <v>46276</v>
      </c>
      <c r="AC1125" s="487">
        <f>IF(PV_DATA[[#This Row],[Pick-Up Date]]&lt;&gt;"",_xlfn.ISOWEEKNUM(PV_DATA[[#This Row],[Pick-Up Date]]),"")</f>
        <v>37</v>
      </c>
      <c r="AE1125" s="431"/>
      <c r="AF1125" s="431" t="s">
        <v>5992</v>
      </c>
      <c r="AG1125" s="431" t="s">
        <v>5992</v>
      </c>
      <c r="AH1125" s="431" t="s">
        <v>78</v>
      </c>
      <c r="AI1125" s="438">
        <v>46280</v>
      </c>
      <c r="AK1125" s="438"/>
      <c r="AL1125" s="438">
        <v>46293</v>
      </c>
      <c r="AM1125" s="620"/>
      <c r="AN1125" s="588"/>
      <c r="AP1125" s="1132" t="s">
        <v>6851</v>
      </c>
      <c r="AQ1125" s="619" t="s">
        <v>80</v>
      </c>
      <c r="AR1125" s="431" t="s">
        <v>6852</v>
      </c>
      <c r="AS1125" s="1132" t="s">
        <v>6853</v>
      </c>
      <c r="AT1125" s="1132" t="s">
        <v>6853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13</v>
      </c>
      <c r="AW1125" s="438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8">
        <f>IF(ISERROR(PV_DATA[[#This Row],[New Ark PO status]]),"",_xlfn.XLOOKUP(PV_DATA[[#This Row],[SPTN-PVHK New Ark PO'#]],New_Ark_Data[Purchase order Number],New_Ark_Data[Estimated time of arrival],"",0))</f>
        <v>0</v>
      </c>
      <c r="AZ11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438">
        <f>IFERROR(PV_DATA[[#This Row],[ODP ETA Port]]+PV_DATA[[#This Row],[Customs/Leg3 Assumption]],"n/a")</f>
        <v>46301</v>
      </c>
      <c r="BB1125" s="434">
        <f>YEAR(PV_DATA[[#This Row],[ETA for New Ark update]])</f>
        <v>2026</v>
      </c>
      <c r="BC1125" s="431">
        <f>MONTH(PV_DATA[[#This Row],[ETA for New Ark update]])</f>
        <v>10</v>
      </c>
      <c r="BD1125" s="431">
        <f>IFERROR(_xlfn.ISOWEEKNUM(PV_DATA[[#This Row],[ETA for New Ark update]]),0)</f>
        <v>41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864</v>
      </c>
      <c r="BG1125" s="431" t="str">
        <f>_xlfn.XLOOKUP(PV_DATA[[#This Row],[New Ark SKU]],Table9[New Ark SKU],Table9[Back Glass],,0)</f>
        <v>Black glazing</v>
      </c>
      <c r="BH1125" s="431" t="str">
        <f>_xlfn.XLOOKUP(PV_DATA[[#This Row],[PORT DESTINATION]],Table12[PORT DESTINATION],Table12[Cosco Line],,0)</f>
        <v>AEM</v>
      </c>
      <c r="BJ1125" s="431"/>
    </row>
    <row r="1126" spans="1:62" ht="10.5" hidden="1">
      <c r="A1126" s="463" t="s">
        <v>6854</v>
      </c>
      <c r="B1126" s="447" t="s">
        <v>6707</v>
      </c>
      <c r="C1126" s="463" t="str">
        <f>IFERROR(LEFT(PV_DATA[[#This Row],[TCL REFERENCE]],FIND(".",PV_DATA[[#This Row],[TCL REFERENCE]],1)-1),"Main Line")</f>
        <v>26Aug006</v>
      </c>
      <c r="D1126" s="463" t="s">
        <v>63</v>
      </c>
      <c r="E1126" s="463" t="s">
        <v>64</v>
      </c>
      <c r="F1126" s="46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63" t="s">
        <v>402</v>
      </c>
      <c r="H1126" s="463" t="s">
        <v>67</v>
      </c>
      <c r="I1126" s="440" t="s">
        <v>882</v>
      </c>
      <c r="J1126" s="431" t="s">
        <v>96</v>
      </c>
      <c r="K1126" s="431"/>
      <c r="L1126" s="431"/>
      <c r="M1126" s="431" t="s">
        <v>6531</v>
      </c>
      <c r="N1126" s="433">
        <v>46258</v>
      </c>
      <c r="O1126" s="431" t="s">
        <v>4526</v>
      </c>
      <c r="P1126" s="431" t="s">
        <v>691</v>
      </c>
      <c r="Q1126" s="431" t="s">
        <v>692</v>
      </c>
      <c r="R1126" s="431" t="str">
        <f>_xlfn.XLOOKUP(PV_DATA[[#This Row],[New Ark SKU]],Table9[New Ark SKU],Table9[Connector],,0)</f>
        <v>EVO2A</v>
      </c>
      <c r="S1126" s="434" t="str">
        <f>_xlfn.XLOOKUP(PV_DATA[[#This Row],[New Ark SKU]],Table9[New Ark SKU],Table9[Cable],,0)</f>
        <v>±1200mm</v>
      </c>
      <c r="T1126" s="434">
        <v>505</v>
      </c>
      <c r="U1126" s="1207">
        <v>864</v>
      </c>
      <c r="V1126" s="435">
        <f>PV_DATA[[#This Row],[QUANTITY]]*PV_DATA[[#This Row],[WATT]]/1000000</f>
        <v>0.43631999999999999</v>
      </c>
      <c r="W1126" s="436">
        <f>PV_DATA[[#This Row],[QUANTITY]]/PV_DATA[[#This Row],[Qty/Pallet]]</f>
        <v>24</v>
      </c>
      <c r="X1126" s="1110">
        <f>PV_DATA[[#This Row],[QUANTITY]]/PV_DATA[[#This Row],[Qty/CT]]</f>
        <v>1</v>
      </c>
      <c r="Y1126" s="431" t="s">
        <v>2466</v>
      </c>
      <c r="Z1126" s="431" t="str">
        <f t="shared" si="27"/>
        <v/>
      </c>
      <c r="AA1126" s="547">
        <v>46279</v>
      </c>
      <c r="AB1126" s="438"/>
      <c r="AC1126" s="487" t="str">
        <f>IF(PV_DATA[[#This Row],[Pick-Up Date]]&lt;&gt;"",_xlfn.ISOWEEKNUM(PV_DATA[[#This Row],[Pick-Up Date]]),"")</f>
        <v/>
      </c>
      <c r="AE1126" s="431"/>
      <c r="AF1126" s="431" t="s">
        <v>5992</v>
      </c>
      <c r="AG1126" s="431" t="s">
        <v>5992</v>
      </c>
      <c r="AH1126" s="431" t="s">
        <v>78</v>
      </c>
      <c r="AI1126" s="438">
        <v>46282</v>
      </c>
      <c r="AK1126" s="438"/>
      <c r="AL1126" s="438">
        <v>46328</v>
      </c>
      <c r="AM1126" s="620"/>
      <c r="AN1126" s="588"/>
      <c r="AP1126" s="431" t="s">
        <v>6628</v>
      </c>
      <c r="AQ1126" s="619" t="s">
        <v>80</v>
      </c>
      <c r="AR1126" s="431" t="s">
        <v>6855</v>
      </c>
      <c r="AS1126" s="432" t="s">
        <v>6856</v>
      </c>
      <c r="AT1126" s="432" t="s">
        <v>6856</v>
      </c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126" s="438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38">
        <f>IF(ISERROR(PV_DATA[[#This Row],[New Ark PO status]]),"",_xlfn.XLOOKUP(PV_DATA[[#This Row],[SPTN-PVHK New Ark PO'#]],New_Ark_Data[Purchase order Number],New_Ark_Data[Estimated time of arrival],"",0))</f>
        <v>0</v>
      </c>
      <c r="AZ11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38">
        <f>IFERROR(PV_DATA[[#This Row],[ODP ETA Port]]+PV_DATA[[#This Row],[Customs/Leg3 Assumption]],"n/a")</f>
        <v>46336</v>
      </c>
      <c r="BB1126" s="434">
        <f>YEAR(PV_DATA[[#This Row],[ETA for New Ark update]])</f>
        <v>2026</v>
      </c>
      <c r="BC1126" s="431">
        <f>MONTH(PV_DATA[[#This Row],[ETA for New Ark update]])</f>
        <v>11</v>
      </c>
      <c r="BD1126" s="431">
        <f>IFERROR(_xlfn.ISOWEEKNUM(PV_DATA[[#This Row],[ETA for New Ark update]]),0)</f>
        <v>46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864</v>
      </c>
      <c r="BG1126" s="431" t="str">
        <f>_xlfn.XLOOKUP(PV_DATA[[#This Row],[New Ark SKU]],Table9[New Ark SKU],Table9[Back Glass],,0)</f>
        <v>Black glazing</v>
      </c>
      <c r="BH1126" s="431" t="str">
        <f>_xlfn.XLOOKUP(PV_DATA[[#This Row],[PORT DESTINATION]],Table12[PORT DESTINATION],Table12[Cosco Line],,0)</f>
        <v>AEM</v>
      </c>
      <c r="BJ1126" s="431"/>
    </row>
    <row r="1127" spans="1:62" ht="10.5" hidden="1">
      <c r="A1127" s="730" t="s">
        <v>6857</v>
      </c>
      <c r="B1127" s="440" t="s">
        <v>6707</v>
      </c>
      <c r="C1127" s="440" t="str">
        <f>IFERROR(LEFT(PV_DATA[[#This Row],[TCL REFERENCE]],FIND(".",PV_DATA[[#This Row],[TCL REFERENCE]],1)-1),"Main Line")</f>
        <v>26Aug005</v>
      </c>
      <c r="D1127" s="440" t="s">
        <v>63</v>
      </c>
      <c r="E1127" s="463" t="s">
        <v>64</v>
      </c>
      <c r="F1127" s="463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63" t="s">
        <v>402</v>
      </c>
      <c r="H1127" s="463" t="s">
        <v>67</v>
      </c>
      <c r="I1127" s="463" t="s">
        <v>689</v>
      </c>
      <c r="J1127" s="431" t="s">
        <v>96</v>
      </c>
      <c r="K1127" s="432"/>
      <c r="L1127" s="432"/>
      <c r="M1127" s="431" t="s">
        <v>6531</v>
      </c>
      <c r="N1127" s="462">
        <v>46258</v>
      </c>
      <c r="O1127" s="432" t="s">
        <v>4526</v>
      </c>
      <c r="P1127" s="431" t="s">
        <v>706</v>
      </c>
      <c r="Q1127" s="432" t="s">
        <v>707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±1200mm</v>
      </c>
      <c r="T1127" s="443">
        <v>500</v>
      </c>
      <c r="U1127" s="1207">
        <v>864</v>
      </c>
      <c r="V1127" s="449">
        <f>PV_DATA[[#This Row],[QUANTITY]]*PV_DATA[[#This Row],[WATT]]/1000000</f>
        <v>0.432</v>
      </c>
      <c r="W1127" s="467">
        <f>PV_DATA[[#This Row],[QUANTITY]]/PV_DATA[[#This Row],[Qty/Pallet]]</f>
        <v>24</v>
      </c>
      <c r="X1127" s="1114">
        <f>PV_DATA[[#This Row],[QUANTITY]]/PV_DATA[[#This Row],[Qty/CT]]</f>
        <v>1</v>
      </c>
      <c r="Y1127" s="431" t="s">
        <v>2468</v>
      </c>
      <c r="Z1127" s="431" t="str">
        <f>IF(AN1127&lt;&gt;"","COMPLETED",IF(AK1127&lt;&gt;"","IN-TRANSIT",""))</f>
        <v/>
      </c>
      <c r="AA1127" s="663">
        <v>46280</v>
      </c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32" t="s">
        <v>5992</v>
      </c>
      <c r="AG1127" s="432" t="s">
        <v>5992</v>
      </c>
      <c r="AH1127" s="431" t="s">
        <v>78</v>
      </c>
      <c r="AI1127" s="438">
        <v>46282</v>
      </c>
      <c r="AK1127" s="438" t="str">
        <f>IFERROR(IF(VLOOKUP(AT1127,Vessel!A:F,5,FALSE)=0,"",VLOOKUP(AT1127,Vessel!A:F,5,FALSE)),"")</f>
        <v/>
      </c>
      <c r="AL1127" s="438">
        <v>46328</v>
      </c>
      <c r="AM1127" s="620"/>
      <c r="AN1127" s="588" t="str">
        <f>IFERROR(IF(VLOOKUP(AT1127,Vessel!A:I,9,FALSE)=0,"",VLOOKUP(AT1127,Vessel!A:I,9,FALSE)),"")</f>
        <v/>
      </c>
      <c r="AO1127" s="432"/>
      <c r="AP1127" s="431" t="s">
        <v>6628</v>
      </c>
      <c r="AQ1127" s="432" t="s">
        <v>80</v>
      </c>
      <c r="AR1127" s="431" t="s">
        <v>6855</v>
      </c>
      <c r="AS1127" s="432" t="s">
        <v>6856</v>
      </c>
      <c r="AT1127" s="432" t="s">
        <v>6856</v>
      </c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27" s="432"/>
      <c r="AW1127" s="442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42">
        <f>IFERROR(PV_DATA[[#This Row],[ODP ETA Port]]+PV_DATA[[#This Row],[Customs/Leg3 Assumption]],"n/a")</f>
        <v>46336</v>
      </c>
      <c r="BB1127" s="443">
        <f>YEAR(PV_DATA[[#This Row],[ETA for New Ark update]])</f>
        <v>2026</v>
      </c>
      <c r="BC1127" s="432">
        <f>MONTH(PV_DATA[[#This Row],[ETA for New Ark update]])</f>
        <v>11</v>
      </c>
      <c r="BD1127" s="432">
        <f>IFERROR(_xlfn.ISOWEEKNUM(PV_DATA[[#This Row],[ETA for New Ark update]]),0)</f>
        <v>46</v>
      </c>
      <c r="BE1127" s="432">
        <f>_xlfn.XLOOKUP(PV_DATA[[#This Row],[New Ark SKU]],Table9[New Ark SKU],Table9[Total PCS per Pallet],,0)</f>
        <v>36</v>
      </c>
      <c r="BF1127" s="432">
        <f>_xlfn.XLOOKUP(PV_DATA[[#This Row],[New Ark SKU]],Table9[New Ark SKU],Table9[Total PCS per 40HQ Container],,0)</f>
        <v>864</v>
      </c>
      <c r="BG1127" s="432" t="str">
        <f>_xlfn.XLOOKUP(PV_DATA[[#This Row],[New Ark SKU]],Table9[New Ark SKU],Table9[Back Glass],,0)</f>
        <v>Black glazing</v>
      </c>
      <c r="BH1127" s="624" t="str">
        <f>_xlfn.XLOOKUP(PV_DATA[[#This Row],[PORT DESTINATION]],Table12[PORT DESTINATION],Table12[Cosco Line],,0)</f>
        <v>AEM</v>
      </c>
      <c r="BJ1127" s="431"/>
    </row>
    <row r="1128" spans="1:62" ht="10.5" hidden="1">
      <c r="A1128" s="463" t="s">
        <v>6858</v>
      </c>
      <c r="B1128" s="447" t="s">
        <v>6707</v>
      </c>
      <c r="C1128" s="463" t="str">
        <f>IFERROR(LEFT(PV_DATA[[#This Row],[TCL REFERENCE]],FIND(".",PV_DATA[[#This Row],[TCL REFERENCE]],1)-1),"Main Line")</f>
        <v>26Aug006</v>
      </c>
      <c r="D1128" s="463" t="s">
        <v>63</v>
      </c>
      <c r="E1128" s="463" t="s">
        <v>64</v>
      </c>
      <c r="F1128" s="46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463" t="s">
        <v>402</v>
      </c>
      <c r="H1128" s="463" t="s">
        <v>67</v>
      </c>
      <c r="I1128" s="440" t="s">
        <v>882</v>
      </c>
      <c r="J1128" s="431" t="s">
        <v>96</v>
      </c>
      <c r="K1128" s="431"/>
      <c r="L1128" s="431"/>
      <c r="M1128" s="431" t="s">
        <v>6531</v>
      </c>
      <c r="N1128" s="433">
        <v>46258</v>
      </c>
      <c r="O1128" s="431" t="s">
        <v>4526</v>
      </c>
      <c r="P1128" s="431" t="s">
        <v>691</v>
      </c>
      <c r="Q1128" s="431" t="s">
        <v>692</v>
      </c>
      <c r="R1128" s="431" t="str">
        <f>_xlfn.XLOOKUP(PV_DATA[[#This Row],[New Ark SKU]],Table9[New Ark SKU],Table9[Connector],,0)</f>
        <v>EVO2A</v>
      </c>
      <c r="S1128" s="434" t="str">
        <f>_xlfn.XLOOKUP(PV_DATA[[#This Row],[New Ark SKU]],Table9[New Ark SKU],Table9[Cable],,0)</f>
        <v>±1200mm</v>
      </c>
      <c r="T1128" s="434">
        <v>505</v>
      </c>
      <c r="U1128" s="1207">
        <v>864</v>
      </c>
      <c r="V1128" s="435">
        <f>PV_DATA[[#This Row],[QUANTITY]]*PV_DATA[[#This Row],[WATT]]/1000000</f>
        <v>0.43631999999999999</v>
      </c>
      <c r="W1128" s="436">
        <f>PV_DATA[[#This Row],[QUANTITY]]/PV_DATA[[#This Row],[Qty/Pallet]]</f>
        <v>24</v>
      </c>
      <c r="X1128" s="1110">
        <f>PV_DATA[[#This Row],[QUANTITY]]/PV_DATA[[#This Row],[Qty/CT]]</f>
        <v>1</v>
      </c>
      <c r="Y1128" s="431" t="s">
        <v>2466</v>
      </c>
      <c r="Z1128" s="431" t="str">
        <f>IF(AN1128&lt;&gt;"","COMPLETED",IF(AK1128&lt;&gt;"","IN-TRANSIT",""))</f>
        <v/>
      </c>
      <c r="AA1128" s="547">
        <v>46280</v>
      </c>
      <c r="AB1128" s="438"/>
      <c r="AC1128" s="487" t="str">
        <f>IF(PV_DATA[[#This Row],[Pick-Up Date]]&lt;&gt;"",_xlfn.ISOWEEKNUM(PV_DATA[[#This Row],[Pick-Up Date]]),"")</f>
        <v/>
      </c>
      <c r="AE1128" s="431"/>
      <c r="AF1128" s="431" t="s">
        <v>5992</v>
      </c>
      <c r="AG1128" s="431" t="s">
        <v>5992</v>
      </c>
      <c r="AH1128" s="431" t="s">
        <v>78</v>
      </c>
      <c r="AI1128" s="438">
        <v>46288</v>
      </c>
      <c r="AK1128" s="438"/>
      <c r="AL1128" s="438">
        <v>46335</v>
      </c>
      <c r="AM1128" s="620"/>
      <c r="AN1128" s="588"/>
      <c r="AP1128" s="431" t="s">
        <v>6859</v>
      </c>
      <c r="AQ1128" s="619" t="s">
        <v>80</v>
      </c>
      <c r="AR1128" s="431" t="s">
        <v>6860</v>
      </c>
      <c r="AS1128" s="432" t="s">
        <v>6861</v>
      </c>
      <c r="AT1128" s="432" t="s">
        <v>6861</v>
      </c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8" s="438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38">
        <f>IF(ISERROR(PV_DATA[[#This Row],[New Ark PO status]]),"",_xlfn.XLOOKUP(PV_DATA[[#This Row],[SPTN-PVHK New Ark PO'#]],New_Ark_Data[Purchase order Number],New_Ark_Data[Estimated time of arrival],"",0))</f>
        <v>0</v>
      </c>
      <c r="AZ11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438">
        <f>IFERROR(PV_DATA[[#This Row],[ODP ETA Port]]+PV_DATA[[#This Row],[Customs/Leg3 Assumption]],"n/a")</f>
        <v>46343</v>
      </c>
      <c r="BB1128" s="434">
        <f>YEAR(PV_DATA[[#This Row],[ETA for New Ark update]])</f>
        <v>2026</v>
      </c>
      <c r="BC1128" s="431">
        <f>MONTH(PV_DATA[[#This Row],[ETA for New Ark update]])</f>
        <v>11</v>
      </c>
      <c r="BD1128" s="431">
        <f>IFERROR(_xlfn.ISOWEEKNUM(PV_DATA[[#This Row],[ETA for New Ark update]]),0)</f>
        <v>47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431" t="str">
        <f>_xlfn.XLOOKUP(PV_DATA[[#This Row],[PORT DESTINATION]],Table12[PORT DESTINATION],Table12[Cosco Line],,0)</f>
        <v>AEM</v>
      </c>
      <c r="BJ1128" s="431"/>
    </row>
    <row r="1129" spans="1:62" ht="10.5" hidden="1">
      <c r="A1129" s="730" t="s">
        <v>6862</v>
      </c>
      <c r="B1129" s="440" t="s">
        <v>61</v>
      </c>
      <c r="C1129" s="440" t="str">
        <f>IFERROR(LEFT(PV_DATA[[#This Row],[TCL REFERENCE]],FIND(".",PV_DATA[[#This Row],[TCL REFERENCE]],1)-1),"Main Line")</f>
        <v>Main Line</v>
      </c>
      <c r="D1129" s="440" t="s">
        <v>63</v>
      </c>
      <c r="E1129" s="463" t="s">
        <v>64</v>
      </c>
      <c r="F1129" s="463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63" t="s">
        <v>402</v>
      </c>
      <c r="H1129" s="463" t="s">
        <v>67</v>
      </c>
      <c r="I1129" s="463" t="s">
        <v>689</v>
      </c>
      <c r="J1129" s="431" t="s">
        <v>96</v>
      </c>
      <c r="K1129" s="432"/>
      <c r="L1129" s="432"/>
      <c r="M1129" s="431" t="s">
        <v>6273</v>
      </c>
      <c r="N1129" s="462">
        <v>46258</v>
      </c>
      <c r="O1129" s="432" t="s">
        <v>4526</v>
      </c>
      <c r="P1129" s="431" t="s">
        <v>706</v>
      </c>
      <c r="Q1129" s="432" t="s">
        <v>707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±1200mm</v>
      </c>
      <c r="T1129" s="443">
        <v>500</v>
      </c>
      <c r="U1129" s="1212" cm="1">
        <f t="array" ref="U1129">24192-fx_qty</f>
        <v>1728</v>
      </c>
      <c r="V1129" s="449">
        <f>PV_DATA[[#This Row],[QUANTITY]]*PV_DATA[[#This Row],[WATT]]/1000000</f>
        <v>0.86399999999999999</v>
      </c>
      <c r="W1129" s="467">
        <f>PV_DATA[[#This Row],[QUANTITY]]/PV_DATA[[#This Row],[Qty/Pallet]]</f>
        <v>48</v>
      </c>
      <c r="X1129" s="1114">
        <f>PV_DATA[[#This Row],[QUANTITY]]/PV_DATA[[#This Row],[Qty/CT]]</f>
        <v>2</v>
      </c>
      <c r="Y1129" s="431" t="s">
        <v>2467</v>
      </c>
      <c r="Z1129" s="431" t="str">
        <f>IF(AN1129&lt;&gt;"","COMPLETED",IF(AK1129&lt;&gt;"","IN-TRANSIT",""))</f>
        <v>IN-TRANSIT</v>
      </c>
      <c r="AA1129" s="432"/>
      <c r="AB1129" s="442">
        <v>46268</v>
      </c>
      <c r="AC1129" s="468">
        <f>IF(PV_DATA[[#This Row],[Pick-Up Date]]&lt;&gt;"",_xlfn.ISOWEEKNUM(PV_DATA[[#This Row],[Pick-Up Date]]),"")</f>
        <v>36</v>
      </c>
      <c r="AD1129" s="432" t="s">
        <v>6863</v>
      </c>
      <c r="AE1129" s="432"/>
      <c r="AF1129" s="432" t="s">
        <v>77</v>
      </c>
      <c r="AG1129" s="432" t="s">
        <v>61</v>
      </c>
      <c r="AH1129" s="431" t="s">
        <v>78</v>
      </c>
      <c r="AI1129" s="438">
        <v>46276</v>
      </c>
      <c r="AJ1129" s="438">
        <f>IFERROR(VLOOKUP(AT1129, Vessel!A:D, 4, FALSE), "")</f>
        <v>46275.833333333336</v>
      </c>
      <c r="AK1129" s="438">
        <f>IFERROR(IF(VLOOKUP(AT1129,Vessel!A:F,5,FALSE)=0,"",VLOOKUP(AT1129,Vessel!A:F,5,FALSE)),"")</f>
        <v>46275.864525462966</v>
      </c>
      <c r="AL1129" s="438">
        <v>46330</v>
      </c>
      <c r="AM1129" s="620">
        <f>IFERROR(VLOOKUP(AT1129, Vessel!A:H, 8, FALSE), "")</f>
        <v>46330.25</v>
      </c>
      <c r="AN1129" s="588" t="str">
        <f>IFERROR(IF(VLOOKUP(AT1129,Vessel!A:I,9,FALSE)=0,"",VLOOKUP(AT1129,Vessel!A:I,9,FALSE)),"")</f>
        <v/>
      </c>
      <c r="AO1129" s="431" t="s">
        <v>402</v>
      </c>
      <c r="AP1129" s="431" t="s">
        <v>6699</v>
      </c>
      <c r="AQ1129" s="446" t="s">
        <v>80</v>
      </c>
      <c r="AR1129" s="431" t="s">
        <v>6864</v>
      </c>
      <c r="AS1129" s="432" t="s">
        <v>6865</v>
      </c>
      <c r="AT1129" s="432" t="s">
        <v>6865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29" s="432"/>
      <c r="AW1129" s="44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>IF(ISERROR(PV_DATA[[#This Row],[New Ark PO status]]),"",_xlfn.XLOOKUP(PV_DATA[[#This Row],[SPTN-PVHK New Ark PO'#]],New_Ark_Data[Purchase order Number],New_Ark_Data[Estimated time of arrival],"",0))</f>
        <v/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2">
        <f>IFERROR(PV_DATA[[#This Row],[ODP ETA Port]]+PV_DATA[[#This Row],[Customs/Leg3 Assumption]],"n/a")</f>
        <v>46338.25</v>
      </c>
      <c r="BB1129" s="443">
        <f>YEAR(PV_DATA[[#This Row],[ETA for New Ark update]])</f>
        <v>2026</v>
      </c>
      <c r="BC1129" s="432">
        <f>MONTH(PV_DATA[[#This Row],[ETA for New Ark update]])</f>
        <v>11</v>
      </c>
      <c r="BD1129" s="432">
        <f>IFERROR(_xlfn.ISOWEEKNUM(PV_DATA[[#This Row],[ETA for New Ark update]]),0)</f>
        <v>46</v>
      </c>
      <c r="BE1129" s="432">
        <f>_xlfn.XLOOKUP(PV_DATA[[#This Row],[New Ark SKU]],Table9[New Ark SKU],Table9[Total PCS per Pallet],,0)</f>
        <v>36</v>
      </c>
      <c r="BF1129" s="432">
        <f>_xlfn.XLOOKUP(PV_DATA[[#This Row],[New Ark SKU]],Table9[New Ark SKU],Table9[Total PCS per 40HQ Container],,0)</f>
        <v>864</v>
      </c>
      <c r="BG1129" s="432" t="str">
        <f>_xlfn.XLOOKUP(PV_DATA[[#This Row],[New Ark SKU]],Table9[New Ark SKU],Table9[Back Glass],,0)</f>
        <v>Black glazing</v>
      </c>
      <c r="BH1129" s="624" t="str">
        <f>_xlfn.XLOOKUP(PV_DATA[[#This Row],[PORT DESTINATION]],Table12[PORT DESTINATION],Table12[Cosco Line],,0)</f>
        <v>AEM</v>
      </c>
      <c r="BJ1129" s="431"/>
    </row>
    <row r="1130" spans="1:62" ht="10.5" hidden="1">
      <c r="A1130" s="730" t="s">
        <v>6866</v>
      </c>
      <c r="B1130" s="440" t="s">
        <v>61</v>
      </c>
      <c r="C1130" s="440" t="str">
        <f>IFERROR(LEFT(PV_DATA[[#This Row],[TCL REFERENCE]],FIND(".",PV_DATA[[#This Row],[TCL REFERENCE]],1)-1),"Main Line")</f>
        <v>26Aug005</v>
      </c>
      <c r="D1130" s="440" t="s">
        <v>63</v>
      </c>
      <c r="E1130" s="463" t="s">
        <v>64</v>
      </c>
      <c r="F1130" s="463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63" t="s">
        <v>402</v>
      </c>
      <c r="H1130" s="463" t="s">
        <v>67</v>
      </c>
      <c r="I1130" s="463" t="s">
        <v>689</v>
      </c>
      <c r="J1130" s="431" t="s">
        <v>96</v>
      </c>
      <c r="K1130" s="432"/>
      <c r="L1130" s="432"/>
      <c r="M1130" s="431" t="s">
        <v>6273</v>
      </c>
      <c r="N1130" s="462">
        <v>46258</v>
      </c>
      <c r="O1130" s="432" t="s">
        <v>4526</v>
      </c>
      <c r="P1130" s="431" t="s">
        <v>706</v>
      </c>
      <c r="Q1130" s="432" t="s">
        <v>707</v>
      </c>
      <c r="R1130" s="432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±1200mm</v>
      </c>
      <c r="T1130" s="443">
        <v>500</v>
      </c>
      <c r="U1130" s="1207">
        <v>3456</v>
      </c>
      <c r="V1130" s="449">
        <f>PV_DATA[[#This Row],[QUANTITY]]*PV_DATA[[#This Row],[WATT]]/1000000</f>
        <v>1.728</v>
      </c>
      <c r="W1130" s="467">
        <f>PV_DATA[[#This Row],[QUANTITY]]/PV_DATA[[#This Row],[Qty/Pallet]]</f>
        <v>96</v>
      </c>
      <c r="X1130" s="1114">
        <f>PV_DATA[[#This Row],[QUANTITY]]/PV_DATA[[#This Row],[Qty/CT]]</f>
        <v>4</v>
      </c>
      <c r="Y1130" s="431" t="s">
        <v>2467</v>
      </c>
      <c r="Z1130" s="431" t="str">
        <f>IF(AN1130&lt;&gt;"","COMPLETED",IF(AK1130&lt;&gt;"","IN-TRANSIT",""))</f>
        <v>IN-TRANSIT</v>
      </c>
      <c r="AA1130" s="432"/>
      <c r="AB1130" s="442">
        <v>46268</v>
      </c>
      <c r="AC1130" s="468">
        <f>IF(PV_DATA[[#This Row],[Pick-Up Date]]&lt;&gt;"",_xlfn.ISOWEEKNUM(PV_DATA[[#This Row],[Pick-Up Date]]),"")</f>
        <v>36</v>
      </c>
      <c r="AD1130" s="432" t="s">
        <v>6867</v>
      </c>
      <c r="AE1130" s="432"/>
      <c r="AF1130" s="432" t="s">
        <v>77</v>
      </c>
      <c r="AG1130" s="432" t="s">
        <v>61</v>
      </c>
      <c r="AH1130" s="431" t="s">
        <v>78</v>
      </c>
      <c r="AI1130" s="438">
        <v>46276</v>
      </c>
      <c r="AJ1130" s="438">
        <f>IFERROR(VLOOKUP(AT1130, Vessel!A:D, 4, FALSE), "")</f>
        <v>46275.833333333336</v>
      </c>
      <c r="AK1130" s="438">
        <f>IFERROR(IF(VLOOKUP(AT1130,Vessel!A:F,5,FALSE)=0,"",VLOOKUP(AT1130,Vessel!A:F,5,FALSE)),"")</f>
        <v>46275.864525462966</v>
      </c>
      <c r="AL1130" s="438">
        <v>46342</v>
      </c>
      <c r="AM1130" s="620">
        <f>IFERROR(VLOOKUP(AT1130, Vessel!A:H, 8, FALSE), "")</f>
        <v>46342.770833333336</v>
      </c>
      <c r="AN1130" s="588" t="str">
        <f>IFERROR(IF(VLOOKUP(AT1130,Vessel!A:I,9,FALSE)=0,"",VLOOKUP(AT1130,Vessel!A:I,9,FALSE)),"")</f>
        <v/>
      </c>
      <c r="AO1130" s="431" t="s">
        <v>402</v>
      </c>
      <c r="AP1130" s="431" t="s">
        <v>6699</v>
      </c>
      <c r="AQ1130" s="446" t="s">
        <v>80</v>
      </c>
      <c r="AR1130" s="431" t="s">
        <v>6868</v>
      </c>
      <c r="AS1130" s="432" t="s">
        <v>6869</v>
      </c>
      <c r="AT1130" s="432" t="s">
        <v>6869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66.906307870369346</v>
      </c>
      <c r="AV1130" s="432"/>
      <c r="AW1130" s="44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2" t="str">
        <f>IF(ISERROR(PV_DATA[[#This Row],[New Ark PO status]]),"",_xlfn.XLOOKUP(PV_DATA[[#This Row],[SPTN-PVHK New Ark PO'#]],New_Ark_Data[Purchase order Number],New_Ark_Data[Estimated time of arrival],"",0))</f>
        <v/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2">
        <f>IFERROR(PV_DATA[[#This Row],[ODP ETA Port]]+PV_DATA[[#This Row],[Customs/Leg3 Assumption]],"n/a")</f>
        <v>46350.770833333336</v>
      </c>
      <c r="BB1130" s="443">
        <f>YEAR(PV_DATA[[#This Row],[ETA for New Ark update]])</f>
        <v>2026</v>
      </c>
      <c r="BC1130" s="432">
        <f>MONTH(PV_DATA[[#This Row],[ETA for New Ark update]])</f>
        <v>11</v>
      </c>
      <c r="BD1130" s="432">
        <f>IFERROR(_xlfn.ISOWEEKNUM(PV_DATA[[#This Row],[ETA for New Ark update]]),0)</f>
        <v>48</v>
      </c>
      <c r="BE1130" s="432">
        <f>_xlfn.XLOOKUP(PV_DATA[[#This Row],[New Ark SKU]],Table9[New Ark SKU],Table9[Total PCS per Pallet],,0)</f>
        <v>36</v>
      </c>
      <c r="BF1130" s="432">
        <f>_xlfn.XLOOKUP(PV_DATA[[#This Row],[New Ark SKU]],Table9[New Ark SKU],Table9[Total PCS per 40HQ Container],,0)</f>
        <v>864</v>
      </c>
      <c r="BG1130" s="432" t="str">
        <f>_xlfn.XLOOKUP(PV_DATA[[#This Row],[New Ark SKU]],Table9[New Ark SKU],Table9[Back Glass],,0)</f>
        <v>Black glazing</v>
      </c>
      <c r="BH1130" s="624" t="str">
        <f>_xlfn.XLOOKUP(PV_DATA[[#This Row],[PORT DESTINATION]],Table12[PORT DESTINATION],Table12[Cosco Line],,0)</f>
        <v>AEM</v>
      </c>
      <c r="BJ1130" s="431"/>
    </row>
    <row r="1131" spans="1:62" s="432" customFormat="1" ht="10.5" hidden="1">
      <c r="A1131" s="440" t="s">
        <v>6870</v>
      </c>
      <c r="B1131" s="440" t="s">
        <v>111</v>
      </c>
      <c r="C1131" s="440" t="str">
        <f>IFERROR(LEFT(PV_DATA[[#This Row],[TCL REFERENCE]],FIND(".",PV_DATA[[#This Row],[TCL REFERENCE]],1)-1),"Main Line")</f>
        <v>Main Line</v>
      </c>
      <c r="D1131" s="440" t="s">
        <v>63</v>
      </c>
      <c r="E1131" s="440" t="s">
        <v>68</v>
      </c>
      <c r="F1131" s="44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0" t="s">
        <v>68</v>
      </c>
      <c r="H1131" s="440" t="s">
        <v>68</v>
      </c>
      <c r="I1131" s="440" t="s">
        <v>68</v>
      </c>
      <c r="J1131" s="432" t="s">
        <v>68</v>
      </c>
      <c r="M1131" s="431" t="s">
        <v>6273</v>
      </c>
      <c r="N1131" s="462">
        <v>46174</v>
      </c>
      <c r="O1131" s="432" t="s">
        <v>713</v>
      </c>
      <c r="P1131" s="432" t="s">
        <v>6871</v>
      </c>
      <c r="Q1131" s="432" t="s">
        <v>1300</v>
      </c>
      <c r="R1131" s="432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+350mm/-280mm</v>
      </c>
      <c r="T1131" s="443">
        <v>720</v>
      </c>
      <c r="U1131" s="1212" cm="1">
        <f t="array" ref="U1131">594-fx_qty</f>
        <v>594</v>
      </c>
      <c r="V1131" s="449">
        <f>PV_DATA[[#This Row],[QUANTITY]]*PV_DATA[[#This Row],[WATT]]/1000000</f>
        <v>0.42768</v>
      </c>
      <c r="W1131" s="467">
        <f>PV_DATA[[#This Row],[QUANTITY]]/PV_DATA[[#This Row],[Qty/Pallet]]</f>
        <v>18</v>
      </c>
      <c r="X1131" s="1114">
        <f>PV_DATA[[#This Row],[QUANTITY]]/PV_DATA[[#This Row],[Qty/CT]]</f>
        <v>1</v>
      </c>
      <c r="Y1131" s="432" t="s">
        <v>6650</v>
      </c>
      <c r="Z1131" s="431" t="str">
        <f t="shared" si="27"/>
        <v/>
      </c>
      <c r="AA1131" s="432" t="s">
        <v>4985</v>
      </c>
      <c r="AB1131" s="442"/>
      <c r="AC1131" s="468" t="str">
        <f>IF(PV_DATA[[#This Row],[Pick-Up Date]]&lt;&gt;"",_xlfn.ISOWEEKNUM(PV_DATA[[#This Row],[Pick-Up Date]]),"")</f>
        <v/>
      </c>
      <c r="AF1131" s="432" t="s">
        <v>111</v>
      </c>
      <c r="AG1131" s="432" t="s">
        <v>123</v>
      </c>
      <c r="AH1131" s="432" t="s">
        <v>68</v>
      </c>
      <c r="AI1131" s="442"/>
      <c r="AJ1131" s="442"/>
      <c r="AK1131" s="438" t="str">
        <f>IFERROR(IF(VLOOKUP(AT1131,Vessel!A:F,5,FALSE)=0,"",VLOOKUP(AT1131,Vessel!A:F,5,FALSE)),"")</f>
        <v/>
      </c>
      <c r="AL1131" s="442"/>
      <c r="AM1131" s="442"/>
      <c r="AN1131" s="588" t="str">
        <f>IFERROR(IF(VLOOKUP(AT1131,Vessel!A:I,9,FALSE)=0,"",VLOOKUP(AT1131,Vessel!A:I,9,FALSE)),"")</f>
        <v/>
      </c>
      <c r="AQ1131" s="446"/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1" s="442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2" t="str">
        <f>IF(ISERROR(PV_DATA[[#This Row],[New Ark PO status]]),"",_xlfn.XLOOKUP(PV_DATA[[#This Row],[SPTN-PVHK New Ark PO'#]],New_Ark_Data[Purchase order Number],New_Ark_Data[Estimated time of arrival],"",0))</f>
        <v/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2" t="str">
        <f>IFERROR(PV_DATA[[#This Row],[ODP ETA Port]]+PV_DATA[[#This Row],[Customs/Leg3 Assumption]],"n/a")</f>
        <v>n/a</v>
      </c>
      <c r="BB1131" s="443" t="s">
        <v>6273</v>
      </c>
      <c r="BC1131" s="443" t="s">
        <v>6273</v>
      </c>
      <c r="BD1131" s="432">
        <f>IFERROR(_xlfn.ISOWEEKNUM(PV_DATA[[#This Row],[ETA for New Ark update]]),0)</f>
        <v>0</v>
      </c>
      <c r="BE1131" s="432">
        <f>_xlfn.XLOOKUP(PV_DATA[[#This Row],[New Ark SKU]],Table9[New Ark SKU],Table9[Total PCS per Pallet],,0)</f>
        <v>33</v>
      </c>
      <c r="BF1131" s="432">
        <f>_xlfn.XLOOKUP(PV_DATA[[#This Row],[New Ark SKU]],Table9[New Ark SKU],Table9[Total PCS per 40HQ Container],,0)</f>
        <v>594</v>
      </c>
      <c r="BG1131" s="432" t="str">
        <f>_xlfn.XLOOKUP(PV_DATA[[#This Row],[New Ark SKU]],Table9[New Ark SKU],Table9[Back Glass],,0)</f>
        <v>White glazing</v>
      </c>
      <c r="BH1131" s="432" t="str">
        <f>_xlfn.XLOOKUP(PV_DATA[[#This Row],[PORT DESTINATION]],Table12[PORT DESTINATION],Table12[Cosco Line],,0)</f>
        <v>n/a</v>
      </c>
    </row>
    <row r="1132" spans="1:62" s="432" customFormat="1" ht="10.5" hidden="1">
      <c r="A1132" s="440" t="s">
        <v>6872</v>
      </c>
      <c r="B1132" s="440" t="s">
        <v>111</v>
      </c>
      <c r="C1132" s="440" t="str">
        <f>IFERROR(LEFT(PV_DATA[[#This Row],[TCL REFERENCE]],FIND(".",PV_DATA[[#This Row],[TCL REFERENCE]],1)-1),"Main Line")</f>
        <v>26Jun028</v>
      </c>
      <c r="D1132" s="440" t="s">
        <v>63</v>
      </c>
      <c r="E1132" s="440" t="s">
        <v>144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440" t="s">
        <v>156</v>
      </c>
      <c r="H1132" s="440" t="s">
        <v>941</v>
      </c>
      <c r="I1132" s="440" t="s">
        <v>689</v>
      </c>
      <c r="J1132" s="432" t="s">
        <v>6873</v>
      </c>
      <c r="M1132" s="431" t="s">
        <v>6247</v>
      </c>
      <c r="N1132" s="462">
        <v>46174</v>
      </c>
      <c r="O1132" s="432" t="s">
        <v>132</v>
      </c>
      <c r="P1132" s="432" t="s">
        <v>133</v>
      </c>
      <c r="Q1132" s="432" t="s">
        <v>134</v>
      </c>
      <c r="R1132" s="432" t="str">
        <f>_xlfn.XLOOKUP(PV_DATA[[#This Row],[New Ark SKU]],Table9[New Ark SKU],Table9[Connector],,0)</f>
        <v>EVO2A</v>
      </c>
      <c r="S1132" s="443" t="str">
        <f>_xlfn.XLOOKUP(PV_DATA[[#This Row],[New Ark SKU]],Table9[New Ark SKU],Table9[Cable],,0)</f>
        <v>±1400mm</v>
      </c>
      <c r="T1132" s="443">
        <v>720</v>
      </c>
      <c r="U1132" s="1212">
        <f>594</f>
        <v>594</v>
      </c>
      <c r="V1132" s="449">
        <f>PV_DATA[[#This Row],[QUANTITY]]*PV_DATA[[#This Row],[WATT]]/1000000</f>
        <v>0.42768</v>
      </c>
      <c r="W1132" s="467">
        <f>PV_DATA[[#This Row],[QUANTITY]]/PV_DATA[[#This Row],[Qty/Pallet]]</f>
        <v>18</v>
      </c>
      <c r="X1132" s="1114">
        <f>PV_DATA[[#This Row],[QUANTITY]]/PV_DATA[[#This Row],[Qty/CT]]</f>
        <v>1</v>
      </c>
      <c r="Y1132" s="432" t="s">
        <v>2458</v>
      </c>
      <c r="Z1132" s="431" t="str">
        <f t="shared" si="27"/>
        <v>COMPLETED</v>
      </c>
      <c r="AA1132" s="432" t="s">
        <v>4985</v>
      </c>
      <c r="AB1132" s="442">
        <v>46206</v>
      </c>
      <c r="AC1132" s="468">
        <f>IF(PV_DATA[[#This Row],[Pick-Up Date]]&lt;&gt;"",_xlfn.ISOWEEKNUM(PV_DATA[[#This Row],[Pick-Up Date]]),"")</f>
        <v>27</v>
      </c>
      <c r="AF1132" s="432" t="s">
        <v>122</v>
      </c>
      <c r="AG1132" s="432" t="s">
        <v>123</v>
      </c>
      <c r="AH1132" s="432" t="s">
        <v>68</v>
      </c>
      <c r="AI1132" s="442">
        <v>46211</v>
      </c>
      <c r="AJ1132" s="442">
        <v>46211</v>
      </c>
      <c r="AK1132" s="442">
        <v>46211</v>
      </c>
      <c r="AL1132" s="442">
        <v>46264</v>
      </c>
      <c r="AM1132" s="442"/>
      <c r="AN1132" s="442">
        <v>46265</v>
      </c>
      <c r="AO1132" s="432" t="s">
        <v>156</v>
      </c>
      <c r="AP1132" s="432" t="s">
        <v>6874</v>
      </c>
      <c r="AQ1132" s="446" t="s">
        <v>161</v>
      </c>
      <c r="AR1132" s="432" t="s">
        <v>6875</v>
      </c>
      <c r="AS1132" s="432" t="s">
        <v>6876</v>
      </c>
      <c r="AT1132" s="432" t="s">
        <v>6876</v>
      </c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2" s="442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 t="str">
        <f>IF(ISERROR(PV_DATA[[#This Row],[New Ark PO status]]),"",_xlfn.XLOOKUP(PV_DATA[[#This Row],[SPTN-PVHK New Ark PO'#]],New_Ark_Data[Purchase order Number],New_Ark_Data[Estimated time of arrival],"",0))</f>
        <v/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442">
        <f>IFERROR(PV_DATA[[#This Row],[ODP ETA Port]]+PV_DATA[[#This Row],[Customs/Leg3 Assumption]],"n/a")</f>
        <v>46265</v>
      </c>
      <c r="BB1132" s="443">
        <f>YEAR(PV_DATA[[#This Row],[ETA for New Ark update]])</f>
        <v>2026</v>
      </c>
      <c r="BC1132" s="432">
        <f>MONTH(PV_DATA[[#This Row],[ETA for New Ark update]])</f>
        <v>8</v>
      </c>
      <c r="BD1132" s="432">
        <f>IFERROR(_xlfn.ISOWEEKNUM(PV_DATA[[#This Row],[ETA for New Ark update]]),0)</f>
        <v>36</v>
      </c>
      <c r="BE1132" s="432">
        <f>_xlfn.XLOOKUP(PV_DATA[[#This Row],[New Ark SKU]],Table9[New Ark SKU],Table9[Total PCS per Pallet],,0)</f>
        <v>33</v>
      </c>
      <c r="BF1132" s="432">
        <f>_xlfn.XLOOKUP(PV_DATA[[#This Row],[New Ark SKU]],Table9[New Ark SKU],Table9[Total PCS per 40HQ Container],,0)</f>
        <v>594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</row>
    <row r="1133" spans="1:62" s="432" customFormat="1" ht="10.5" hidden="1">
      <c r="A1133" s="440" t="s">
        <v>6877</v>
      </c>
      <c r="B1133" s="440" t="s">
        <v>111</v>
      </c>
      <c r="C1133" s="440" t="str">
        <f>IFERROR(LEFT(PV_DATA[[#This Row],[TCL REFERENCE]],FIND(".",PV_DATA[[#This Row],[TCL REFERENCE]],1)-1),"Main Line")</f>
        <v>26Jun028</v>
      </c>
      <c r="D1133" s="440" t="s">
        <v>63</v>
      </c>
      <c r="E1133" s="440" t="s">
        <v>144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3" s="440" t="s">
        <v>156</v>
      </c>
      <c r="H1133" s="440" t="s">
        <v>941</v>
      </c>
      <c r="I1133" s="440" t="s">
        <v>689</v>
      </c>
      <c r="J1133" s="432" t="s">
        <v>6873</v>
      </c>
      <c r="M1133" s="431" t="s">
        <v>6247</v>
      </c>
      <c r="N1133" s="462">
        <v>46174</v>
      </c>
      <c r="O1133" s="432" t="s">
        <v>132</v>
      </c>
      <c r="P1133" s="432" t="s">
        <v>133</v>
      </c>
      <c r="Q1133" s="432" t="s">
        <v>134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±1400mm</v>
      </c>
      <c r="T1133" s="443">
        <v>720</v>
      </c>
      <c r="U1133" s="1212">
        <f>594</f>
        <v>594</v>
      </c>
      <c r="V1133" s="449">
        <f>PV_DATA[[#This Row],[QUANTITY]]*PV_DATA[[#This Row],[WATT]]/1000000</f>
        <v>0.42768</v>
      </c>
      <c r="W1133" s="467">
        <f>PV_DATA[[#This Row],[QUANTITY]]/PV_DATA[[#This Row],[Qty/Pallet]]</f>
        <v>18</v>
      </c>
      <c r="X1133" s="1114">
        <f>PV_DATA[[#This Row],[QUANTITY]]/PV_DATA[[#This Row],[Qty/CT]]</f>
        <v>1</v>
      </c>
      <c r="Y1133" s="432" t="s">
        <v>2458</v>
      </c>
      <c r="Z1133" s="431" t="str">
        <f t="shared" si="27"/>
        <v>COMPLETED</v>
      </c>
      <c r="AA1133" s="432" t="s">
        <v>4985</v>
      </c>
      <c r="AB1133" s="442">
        <v>46206</v>
      </c>
      <c r="AC1133" s="468">
        <f>IF(PV_DATA[[#This Row],[Pick-Up Date]]&lt;&gt;"",_xlfn.ISOWEEKNUM(PV_DATA[[#This Row],[Pick-Up Date]]),"")</f>
        <v>27</v>
      </c>
      <c r="AF1133" s="432" t="s">
        <v>122</v>
      </c>
      <c r="AG1133" s="432" t="s">
        <v>123</v>
      </c>
      <c r="AH1133" s="432" t="s">
        <v>68</v>
      </c>
      <c r="AI1133" s="442">
        <v>46211</v>
      </c>
      <c r="AJ1133" s="442">
        <v>46211</v>
      </c>
      <c r="AK1133" s="442">
        <v>46211</v>
      </c>
      <c r="AL1133" s="442">
        <v>46264</v>
      </c>
      <c r="AM1133" s="442"/>
      <c r="AN1133" s="442">
        <v>46265</v>
      </c>
      <c r="AO1133" s="432" t="s">
        <v>156</v>
      </c>
      <c r="AP1133" s="432" t="s">
        <v>6874</v>
      </c>
      <c r="AQ1133" s="446" t="s">
        <v>161</v>
      </c>
      <c r="AR1133" s="432" t="s">
        <v>6878</v>
      </c>
      <c r="AS1133" s="432" t="s">
        <v>6879</v>
      </c>
      <c r="AT1133" s="432" t="s">
        <v>6879</v>
      </c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3" s="442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3" s="442">
        <f>IFERROR(PV_DATA[[#This Row],[ODP ETA Port]]+PV_DATA[[#This Row],[Customs/Leg3 Assumption]],"n/a")</f>
        <v>46265</v>
      </c>
      <c r="BB1133" s="443">
        <f>YEAR(PV_DATA[[#This Row],[ETA for New Ark update]])</f>
        <v>2026</v>
      </c>
      <c r="BC1133" s="432">
        <f>MONTH(PV_DATA[[#This Row],[ETA for New Ark update]])</f>
        <v>8</v>
      </c>
      <c r="BD1133" s="432">
        <f>IFERROR(_xlfn.ISOWEEKNUM(PV_DATA[[#This Row],[ETA for New Ark update]]),0)</f>
        <v>36</v>
      </c>
      <c r="BE1133" s="432">
        <f>_xlfn.XLOOKUP(PV_DATA[[#This Row],[New Ark SKU]],Table9[New Ark SKU],Table9[Total PCS per Pallet],,0)</f>
        <v>33</v>
      </c>
      <c r="BF1133" s="432">
        <f>_xlfn.XLOOKUP(PV_DATA[[#This Row],[New Ark SKU]],Table9[New Ark SKU],Table9[Total PCS per 40HQ Container],,0)</f>
        <v>594</v>
      </c>
      <c r="BG1133" s="432" t="str">
        <f>_xlfn.XLOOKUP(PV_DATA[[#This Row],[New Ark SKU]],Table9[New Ark SKU],Table9[Back Glass],,0)</f>
        <v>White glazing</v>
      </c>
      <c r="BH1133" s="432" t="str">
        <f>_xlfn.XLOOKUP(PV_DATA[[#This Row],[PORT DESTINATION]],Table12[PORT DESTINATION],Table12[Cosco Line],,0)</f>
        <v>n/a</v>
      </c>
    </row>
    <row r="1134" spans="1:62" s="432" customFormat="1" ht="10.5" hidden="1">
      <c r="A1134" s="440" t="s">
        <v>6880</v>
      </c>
      <c r="B1134" s="440" t="s">
        <v>111</v>
      </c>
      <c r="C1134" s="440" t="str">
        <f>IFERROR(LEFT(PV_DATA[[#This Row],[TCL REFERENCE]],FIND(".",PV_DATA[[#This Row],[TCL REFERENCE]],1)-1),"Main Line")</f>
        <v>Main Line</v>
      </c>
      <c r="D1134" s="440" t="s">
        <v>63</v>
      </c>
      <c r="E1134" s="440" t="s">
        <v>144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4" s="440" t="s">
        <v>156</v>
      </c>
      <c r="H1134" s="440" t="s">
        <v>941</v>
      </c>
      <c r="I1134" s="440" t="s">
        <v>689</v>
      </c>
      <c r="J1134" s="432" t="s">
        <v>6873</v>
      </c>
      <c r="M1134" s="431" t="s">
        <v>6247</v>
      </c>
      <c r="N1134" s="462">
        <v>46174</v>
      </c>
      <c r="O1134" s="432" t="s">
        <v>70</v>
      </c>
      <c r="P1134" s="432" t="s">
        <v>6881</v>
      </c>
      <c r="Q1134" s="432" t="s">
        <v>103</v>
      </c>
      <c r="R1134" s="432" t="str">
        <f>_xlfn.XLOOKUP(PV_DATA[[#This Row],[New Ark SKU]],Table9[New Ark SKU],Table9[Connector],,0)</f>
        <v>H4(Com)</v>
      </c>
      <c r="S1134" s="443" t="str">
        <f>_xlfn.XLOOKUP(PV_DATA[[#This Row],[New Ark SKU]],Table9[New Ark SKU],Table9[Cable],,0)</f>
        <v>±1400mm</v>
      </c>
      <c r="T1134" s="443">
        <v>620</v>
      </c>
      <c r="U1134" s="1212" cm="1">
        <f t="array" ref="U1134">720-fx_qty</f>
        <v>720</v>
      </c>
      <c r="V1134" s="449">
        <f>PV_DATA[[#This Row],[QUANTITY]]*PV_DATA[[#This Row],[WATT]]/1000000</f>
        <v>0.44640000000000002</v>
      </c>
      <c r="W1134" s="467">
        <f>PV_DATA[[#This Row],[QUANTITY]]/PV_DATA[[#This Row],[Qty/Pallet]]</f>
        <v>20</v>
      </c>
      <c r="X1134" s="1114">
        <f>PV_DATA[[#This Row],[QUANTITY]]/PV_DATA[[#This Row],[Qty/CT]]</f>
        <v>1</v>
      </c>
      <c r="Y1134" s="432" t="s">
        <v>2458</v>
      </c>
      <c r="Z1134" s="431" t="str">
        <f t="shared" si="27"/>
        <v>COMPLETED</v>
      </c>
      <c r="AA1134" s="432" t="s">
        <v>4985</v>
      </c>
      <c r="AB1134" s="442">
        <v>46206</v>
      </c>
      <c r="AC1134" s="468">
        <f>IF(PV_DATA[[#This Row],[Pick-Up Date]]&lt;&gt;"",_xlfn.ISOWEEKNUM(PV_DATA[[#This Row],[Pick-Up Date]]),"")</f>
        <v>27</v>
      </c>
      <c r="AF1134" s="432" t="s">
        <v>122</v>
      </c>
      <c r="AG1134" s="432" t="s">
        <v>123</v>
      </c>
      <c r="AH1134" s="432" t="s">
        <v>68</v>
      </c>
      <c r="AI1134" s="442">
        <v>46211</v>
      </c>
      <c r="AJ1134" s="442">
        <v>46211</v>
      </c>
      <c r="AK1134" s="442">
        <v>46211</v>
      </c>
      <c r="AL1134" s="442">
        <v>46264</v>
      </c>
      <c r="AM1134" s="442"/>
      <c r="AN1134" s="442">
        <v>46265</v>
      </c>
      <c r="AO1134" s="432" t="s">
        <v>156</v>
      </c>
      <c r="AP1134" s="432" t="s">
        <v>6874</v>
      </c>
      <c r="AQ1134" s="446" t="s">
        <v>161</v>
      </c>
      <c r="AR1134" s="432" t="s">
        <v>6878</v>
      </c>
      <c r="AS1134" s="432" t="s">
        <v>6879</v>
      </c>
      <c r="AT1134" s="432" t="s">
        <v>6879</v>
      </c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4" s="44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4" s="442">
        <f>IFERROR(PV_DATA[[#This Row],[ODP ETA Port]]+PV_DATA[[#This Row],[Customs/Leg3 Assumption]],"n/a")</f>
        <v>46265</v>
      </c>
      <c r="BB1134" s="443">
        <f>YEAR(PV_DATA[[#This Row],[ETA for New Ark update]])</f>
        <v>2026</v>
      </c>
      <c r="BC1134" s="432">
        <f>MONTH(PV_DATA[[#This Row],[ETA for New Ark update]])</f>
        <v>8</v>
      </c>
      <c r="BD1134" s="432">
        <f>IFERROR(_xlfn.ISOWEEKNUM(PV_DATA[[#This Row],[ETA for New Ark update]]),0)</f>
        <v>36</v>
      </c>
      <c r="BE1134" s="432">
        <f>_xlfn.XLOOKUP(PV_DATA[[#This Row],[New Ark SKU]],Table9[New Ark SKU],Table9[Total PCS per Pallet],,0)</f>
        <v>36</v>
      </c>
      <c r="BF1134" s="432">
        <f>_xlfn.XLOOKUP(PV_DATA[[#This Row],[New Ark SKU]],Table9[New Ark SKU],Table9[Total PCS per 40HQ Container],,0)</f>
        <v>720</v>
      </c>
      <c r="BG1134" s="432" t="str">
        <f>_xlfn.XLOOKUP(PV_DATA[[#This Row],[New Ark SKU]],Table9[New Ark SKU],Table9[Back Glass],,0)</f>
        <v>White glazing</v>
      </c>
      <c r="BH1134" s="432" t="str">
        <f>_xlfn.XLOOKUP(PV_DATA[[#This Row],[PORT DESTINATION]],Table12[PORT DESTINATION],Table12[Cosco Line],,0)</f>
        <v>n/a</v>
      </c>
    </row>
    <row r="1135" spans="1:62" s="440" customFormat="1" ht="10.5" hidden="1">
      <c r="A1135" s="729" t="s">
        <v>6882</v>
      </c>
      <c r="B1135" s="728" t="s">
        <v>111</v>
      </c>
      <c r="C1135" s="440" t="str">
        <f>IFERROR(LEFT(PV_DATA[[#This Row],[TCL REFERENCE]],FIND(".",PV_DATA[[#This Row],[TCL REFERENCE]],1)-1),"Main Line")</f>
        <v>26Aug010</v>
      </c>
      <c r="D1135" s="728" t="s">
        <v>113</v>
      </c>
      <c r="E1135" s="440" t="s">
        <v>144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40" t="s">
        <v>402</v>
      </c>
      <c r="H1135" s="721" t="s">
        <v>941</v>
      </c>
      <c r="I1135" s="440" t="s">
        <v>689</v>
      </c>
      <c r="J1135" s="440" t="s">
        <v>6883</v>
      </c>
      <c r="K1135" s="728"/>
      <c r="L1135" s="728"/>
      <c r="M1135" s="440" t="s">
        <v>6884</v>
      </c>
      <c r="N1135" s="1348"/>
      <c r="O1135" s="728" t="s">
        <v>4526</v>
      </c>
      <c r="P1135" s="728" t="s">
        <v>6207</v>
      </c>
      <c r="Q1135" s="728" t="s">
        <v>330</v>
      </c>
      <c r="R1135" s="728" t="str">
        <f>_xlfn.XLOOKUP(PV_DATA[[#This Row],[New Ark SKU]],Table9[New Ark SKU],Table9[Connector],,0)</f>
        <v>H4(Com)</v>
      </c>
      <c r="S1135" s="1349" t="str">
        <f>_xlfn.XLOOKUP(PV_DATA[[#This Row],[New Ark SKU]],Table9[New Ark SKU],Table9[Cable],,0)</f>
        <v>+400mm/-200mm</v>
      </c>
      <c r="T1135" s="1349">
        <v>625</v>
      </c>
      <c r="U1135" s="1350">
        <f>720*2</f>
        <v>1440</v>
      </c>
      <c r="V1135" s="1351">
        <f>PV_DATA[[#This Row],[QUANTITY]]*PV_DATA[[#This Row],[WATT]]/1000000</f>
        <v>0.9</v>
      </c>
      <c r="W1135" s="1352">
        <f>PV_DATA[[#This Row],[QUANTITY]]/36</f>
        <v>40</v>
      </c>
      <c r="X1135" s="1359">
        <f>PV_DATA[[#This Row],[QUANTITY]]/PV_DATA[[#This Row],[Qty/CT]]</f>
        <v>2</v>
      </c>
      <c r="Y1135" s="440" t="s">
        <v>2466</v>
      </c>
      <c r="Z1135" s="440" t="str">
        <f>IF(AN1135&lt;&gt;"","COMPLETED",IF(AK1135&lt;&gt;"","IN-TRANSIT",""))</f>
        <v>COMPLETED</v>
      </c>
      <c r="AA1135" s="1353">
        <v>46251</v>
      </c>
      <c r="AB1135" s="1019">
        <v>46252</v>
      </c>
      <c r="AC1135" s="1354">
        <f>IF(PV_DATA[[#This Row],[Pick-Up Date]]&lt;&gt;"",_xlfn.ISOWEEKNUM(PV_DATA[[#This Row],[Pick-Up Date]]),"")</f>
        <v>34</v>
      </c>
      <c r="AD1135" s="728" t="s">
        <v>6885</v>
      </c>
      <c r="AE1135" s="728"/>
      <c r="AF1135" s="728" t="s">
        <v>1525</v>
      </c>
      <c r="AG1135" s="728" t="s">
        <v>1525</v>
      </c>
      <c r="AH1135" s="440" t="s">
        <v>946</v>
      </c>
      <c r="AI1135" s="1019">
        <v>46258</v>
      </c>
      <c r="AJ1135" s="1019">
        <v>46263</v>
      </c>
      <c r="AK1135" s="721">
        <v>46263</v>
      </c>
      <c r="AL1135" s="1019">
        <v>46261</v>
      </c>
      <c r="AM1135" s="1019">
        <v>46268</v>
      </c>
      <c r="AN1135" s="1355">
        <v>46273</v>
      </c>
      <c r="AO1135" s="728" t="s">
        <v>402</v>
      </c>
      <c r="AP1135" s="728" t="s">
        <v>6886</v>
      </c>
      <c r="AQ1135" s="440" t="s">
        <v>161</v>
      </c>
      <c r="AR1135" s="728" t="s">
        <v>6887</v>
      </c>
      <c r="AS1135" s="728">
        <v>275734828</v>
      </c>
      <c r="AT1135" s="440">
        <v>275734828</v>
      </c>
      <c r="AU11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35" s="728"/>
      <c r="AW1135" s="1019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35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19" t="str">
        <f>IF(ISERROR(PV_DATA[[#This Row],[New Ark PO status]]),"",_xlfn.XLOOKUP(PV_DATA[[#This Row],[SPTN-PVHK New Ark PO'#]],New_Ark_Data[Purchase order Number],New_Ark_Data[Estimated time of arrival],"",0))</f>
        <v/>
      </c>
      <c r="AZ1135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1019">
        <f>IFERROR(PV_DATA[[#This Row],[ODP ETA Port]]+PV_DATA[[#This Row],[Customs/Leg3 Assumption]],"n/a")</f>
        <v>46273</v>
      </c>
      <c r="BB1135" s="1349">
        <f>YEAR(PV_DATA[[#This Row],[ETA for New Ark update]])</f>
        <v>2026</v>
      </c>
      <c r="BC1135" s="728">
        <f>MONTH(PV_DATA[[#This Row],[ETA for New Ark update]])</f>
        <v>9</v>
      </c>
      <c r="BD1135" s="728">
        <f>IFERROR(_xlfn.ISOWEEKNUM(PV_DATA[[#This Row],[ETA for New Ark update]]),0)</f>
        <v>37</v>
      </c>
      <c r="BE1135" s="728">
        <f>_xlfn.XLOOKUP(PV_DATA[[#This Row],[New Ark SKU]],Table9[New Ark SKU],Table9[Total PCS per Pallet],,0)</f>
        <v>36</v>
      </c>
      <c r="BF1135" s="728">
        <f>_xlfn.XLOOKUP(PV_DATA[[#This Row],[New Ark SKU]],Table9[New Ark SKU],Table9[Total PCS per 40HQ Container],,0)</f>
        <v>720</v>
      </c>
      <c r="BG1135" s="728" t="str">
        <f>_xlfn.XLOOKUP(PV_DATA[[#This Row],[New Ark SKU]],Table9[New Ark SKU],Table9[Back Glass],,0)</f>
        <v>Redirection Film</v>
      </c>
      <c r="BH1135" s="1356" t="str">
        <f>_xlfn.XLOOKUP(PV_DATA[[#This Row],[PORT DESTINATION]],Table12[PORT DESTINATION],Table12[Cosco Line],,0)</f>
        <v>n/a</v>
      </c>
    </row>
    <row r="1136" spans="1:62" ht="10.5" hidden="1">
      <c r="A1136" s="727" t="s">
        <v>6888</v>
      </c>
      <c r="B1136" s="440" t="s">
        <v>111</v>
      </c>
      <c r="C1136" s="440" t="str">
        <f>IFERROR(LEFT(PV_DATA[[#This Row],[TCL REFERENCE]],FIND(".",PV_DATA[[#This Row],[TCL REFERENCE]],1)-1),"Main Line")</f>
        <v>Main Line</v>
      </c>
      <c r="D1136" s="440" t="s">
        <v>63</v>
      </c>
      <c r="E1136" s="440" t="s">
        <v>68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0" t="s">
        <v>68</v>
      </c>
      <c r="H1136" s="440" t="s">
        <v>68</v>
      </c>
      <c r="I1136" s="440" t="s">
        <v>68</v>
      </c>
      <c r="J1136" s="432" t="s">
        <v>68</v>
      </c>
      <c r="K1136" s="432"/>
      <c r="L1136" s="432"/>
      <c r="M1136" s="431" t="s">
        <v>6273</v>
      </c>
      <c r="N1136" s="462">
        <v>46237</v>
      </c>
      <c r="O1136" s="432" t="s">
        <v>5374</v>
      </c>
      <c r="P1136" s="431" t="s">
        <v>5939</v>
      </c>
      <c r="Q1136" s="432" t="s">
        <v>5940</v>
      </c>
      <c r="R1136" s="432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±1200mm</v>
      </c>
      <c r="T1136" s="443">
        <v>470</v>
      </c>
      <c r="U1136" s="1215" cm="1">
        <f t="array" ref="U1136">5616-fx_qty</f>
        <v>0</v>
      </c>
      <c r="V1136" s="738">
        <f>PV_DATA[[#This Row],[QUANTITY]]*PV_DATA[[#This Row],[WATT]]/1000000</f>
        <v>0</v>
      </c>
      <c r="W1136" s="739">
        <f>PV_DATA[[#This Row],[QUANTITY]]/PV_DATA[[#This Row],[Qty/Pallet]]</f>
        <v>0</v>
      </c>
      <c r="X1136" s="1204">
        <f>PV_DATA[[#This Row],[QUANTITY]]/PV_DATA[[#This Row],[Qty/CT]]</f>
        <v>0</v>
      </c>
      <c r="Y1136" s="448" t="s">
        <v>6650</v>
      </c>
      <c r="Z1136" s="431" t="str">
        <f t="shared" si="27"/>
        <v/>
      </c>
      <c r="AA1136" s="432"/>
      <c r="AB1136" s="442"/>
      <c r="AC1136" s="468" t="str">
        <f>IF(PV_DATA[[#This Row],[Pick-Up Date]]&lt;&gt;"",_xlfn.ISOWEEKNUM(PV_DATA[[#This Row],[Pick-Up Date]]),"")</f>
        <v/>
      </c>
      <c r="AD1136" s="432"/>
      <c r="AE1136" s="432"/>
      <c r="AF1136" s="432" t="s">
        <v>122</v>
      </c>
      <c r="AG1136" s="432" t="s">
        <v>123</v>
      </c>
      <c r="AH1136" s="432" t="s">
        <v>68</v>
      </c>
      <c r="AI1136" s="442"/>
      <c r="AJ1136" s="442"/>
      <c r="AK1136" s="438" t="str">
        <f>IFERROR(IF(VLOOKUP(AT1136,Vessel!A:F,5,FALSE)=0,"",VLOOKUP(AT1136,Vessel!A:F,5,FALSE)),"")</f>
        <v/>
      </c>
      <c r="AL1136" s="442"/>
      <c r="AM1136" s="442"/>
      <c r="AN1136" s="588" t="str">
        <f>IFERROR(IF(VLOOKUP(AT1136,Vessel!A:I,9,FALSE)=0,"",VLOOKUP(AT1136,Vessel!A:I,9,FALSE)),"")</f>
        <v/>
      </c>
      <c r="AO1136" s="432"/>
      <c r="AP1136" s="432"/>
      <c r="AQ1136" s="446"/>
      <c r="AR1136" s="432"/>
      <c r="AS1136" s="432"/>
      <c r="AT1136" s="432"/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2"/>
      <c r="AW1136" s="442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2" t="str">
        <f>IF(ISERROR(PV_DATA[[#This Row],[New Ark PO status]]),"",_xlfn.XLOOKUP(PV_DATA[[#This Row],[SPTN-PVHK New Ark PO'#]],New_Ark_Data[Purchase order Number],New_Ark_Data[Estimated time of arrival],"",0))</f>
        <v/>
      </c>
      <c r="AZ113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2" t="str">
        <f>IFERROR(PV_DATA[[#This Row],[ODP ETA Port]]+PV_DATA[[#This Row],[Customs/Leg3 Assumption]],"n/a")</f>
        <v>n/a</v>
      </c>
      <c r="BB1136" s="443" t="e">
        <f>YEAR(PV_DATA[[#This Row],[ETA for New Ark update]])</f>
        <v>#VALUE!</v>
      </c>
      <c r="BC1136" s="432" t="e">
        <f>MONTH(PV_DATA[[#This Row],[ETA for New Ark update]])</f>
        <v>#VALUE!</v>
      </c>
      <c r="BD1136" s="432">
        <f>IFERROR(_xlfn.ISOWEEKNUM(PV_DATA[[#This Row],[ETA for New Ark update]]),0)</f>
        <v>0</v>
      </c>
      <c r="BE1136" s="432">
        <f>_xlfn.XLOOKUP(PV_DATA[[#This Row],[New Ark SKU]],Table9[New Ark SKU],Table9[Total PCS per Pallet],,0)</f>
        <v>36</v>
      </c>
      <c r="BF1136" s="432">
        <f>_xlfn.XLOOKUP(PV_DATA[[#This Row],[New Ark SKU]],Table9[New Ark SKU],Table9[Total PCS per 40HQ Container],,0)</f>
        <v>936</v>
      </c>
      <c r="BG1136" s="432" t="str">
        <f>_xlfn.XLOOKUP(PV_DATA[[#This Row],[New Ark SKU]],Table9[New Ark SKU],Table9[Back Glass],,0)</f>
        <v>White glazing</v>
      </c>
      <c r="BH1136" s="432" t="str">
        <f>_xlfn.XLOOKUP(PV_DATA[[#This Row],[PORT DESTINATION]],Table12[PORT DESTINATION],Table12[Cosco Line],,0)</f>
        <v>n/a</v>
      </c>
      <c r="BJ1136" s="431"/>
    </row>
    <row r="1137" spans="1:91" ht="10.5" hidden="1">
      <c r="A1137" s="727" t="s">
        <v>6889</v>
      </c>
      <c r="B1137" s="440" t="s">
        <v>111</v>
      </c>
      <c r="C1137" s="440" t="str">
        <f>IFERROR(LEFT(PV_DATA[[#This Row],[TCL REFERENCE]],FIND(".",PV_DATA[[#This Row],[TCL REFERENCE]],1)-1),"Main Line")</f>
        <v>Main Line</v>
      </c>
      <c r="D1137" s="440" t="s">
        <v>63</v>
      </c>
      <c r="E1137" s="440" t="s">
        <v>68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0" t="s">
        <v>68</v>
      </c>
      <c r="H1137" s="440" t="s">
        <v>68</v>
      </c>
      <c r="I1137" s="440" t="s">
        <v>68</v>
      </c>
      <c r="J1137" s="432" t="s">
        <v>68</v>
      </c>
      <c r="K1137" s="432"/>
      <c r="L1137" s="432"/>
      <c r="M1137" s="431" t="s">
        <v>6273</v>
      </c>
      <c r="N1137" s="462">
        <v>46234</v>
      </c>
      <c r="O1137" s="432" t="s">
        <v>5374</v>
      </c>
      <c r="P1137" s="431" t="s">
        <v>5730</v>
      </c>
      <c r="Q1137" s="432" t="s">
        <v>5731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±1200mm</v>
      </c>
      <c r="T1137" s="443">
        <v>475</v>
      </c>
      <c r="U1137" s="1215" cm="1">
        <f t="array" ref="U1137">29016-fx_qty</f>
        <v>0</v>
      </c>
      <c r="V1137" s="738">
        <f>PV_DATA[[#This Row],[QUANTITY]]*PV_DATA[[#This Row],[WATT]]/1000000</f>
        <v>0</v>
      </c>
      <c r="W1137" s="739">
        <f>PV_DATA[[#This Row],[QUANTITY]]/PV_DATA[[#This Row],[Qty/Pallet]]</f>
        <v>0</v>
      </c>
      <c r="X1137" s="1204">
        <f>PV_DATA[[#This Row],[QUANTITY]]/PV_DATA[[#This Row],[Qty/CT]]</f>
        <v>0</v>
      </c>
      <c r="Y1137" s="448" t="s">
        <v>6650</v>
      </c>
      <c r="Z1137" s="431" t="str">
        <f t="shared" si="27"/>
        <v/>
      </c>
      <c r="AA1137" s="432" t="s">
        <v>6421</v>
      </c>
      <c r="AB1137" s="442"/>
      <c r="AC1137" s="468" t="str">
        <f>IF(PV_DATA[[#This Row],[Pick-Up Date]]&lt;&gt;"",_xlfn.ISOWEEKNUM(PV_DATA[[#This Row],[Pick-Up Date]]),"")</f>
        <v/>
      </c>
      <c r="AD1137" s="432"/>
      <c r="AE1137" s="432"/>
      <c r="AF1137" s="432" t="s">
        <v>122</v>
      </c>
      <c r="AG1137" s="432" t="s">
        <v>123</v>
      </c>
      <c r="AH1137" s="432" t="s">
        <v>68</v>
      </c>
      <c r="AI1137" s="442"/>
      <c r="AJ1137" s="442"/>
      <c r="AK1137" s="438" t="str">
        <f>IFERROR(IF(VLOOKUP(AT1137,Vessel!A:F,5,FALSE)=0,"",VLOOKUP(AT1137,Vessel!A:F,5,FALSE)),"")</f>
        <v/>
      </c>
      <c r="AL1137" s="442"/>
      <c r="AM1137" s="442"/>
      <c r="AN1137" s="588" t="str">
        <f>IFERROR(IF(VLOOKUP(AT1137,Vessel!A:I,9,FALSE)=0,"",VLOOKUP(AT1137,Vessel!A:I,9,FALSE)),"")</f>
        <v/>
      </c>
      <c r="AO1137" s="432"/>
      <c r="AP1137" s="432"/>
      <c r="AQ1137" s="446"/>
      <c r="AR1137" s="432"/>
      <c r="AS1137" s="432"/>
      <c r="AT1137" s="432"/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2"/>
      <c r="AW1137" s="442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 t="str">
        <f>IF(ISERROR(PV_DATA[[#This Row],[New Ark PO status]]),"",_xlfn.XLOOKUP(PV_DATA[[#This Row],[SPTN-PVHK New Ark PO'#]],New_Ark_Data[Purchase order Number],New_Ark_Data[Estimated time of arrival],"",0))</f>
        <v/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2" t="str">
        <f>IFERROR(PV_DATA[[#This Row],[ODP ETA Port]]+PV_DATA[[#This Row],[Customs/Leg3 Assumption]],"n/a")</f>
        <v>n/a</v>
      </c>
      <c r="BB1137" s="443" t="e">
        <f>YEAR(PV_DATA[[#This Row],[ETA for New Ark update]])</f>
        <v>#VALUE!</v>
      </c>
      <c r="BC1137" s="432" t="e">
        <f>MONTH(PV_DATA[[#This Row],[ETA for New Ark update]])</f>
        <v>#VALUE!</v>
      </c>
      <c r="BD1137" s="432">
        <f>IFERROR(_xlfn.ISOWEEKNUM(PV_DATA[[#This Row],[ETA for New Ark update]]),0)</f>
        <v>0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936</v>
      </c>
      <c r="BG1137" s="432" t="str">
        <f>_xlfn.XLOOKUP(PV_DATA[[#This Row],[New Ark SKU]],Table9[New Ark SKU],Table9[Back Glass],,0)</f>
        <v>White glazing</v>
      </c>
      <c r="BH1137" s="432" t="str">
        <f>_xlfn.XLOOKUP(PV_DATA[[#This Row],[PORT DESTINATION]],Table12[PORT DESTINATION],Table12[Cosco Line],,0)</f>
        <v>n/a</v>
      </c>
      <c r="BJ1137" s="431"/>
    </row>
    <row r="1138" spans="1:91" ht="10.5" hidden="1">
      <c r="A1138" s="440" t="s">
        <v>6890</v>
      </c>
      <c r="B1138" s="440" t="s">
        <v>111</v>
      </c>
      <c r="C1138" s="440" t="str">
        <f>IFERROR(LEFT(PV_DATA[[#This Row],[TCL REFERENCE]],FIND(".",PV_DATA[[#This Row],[TCL REFERENCE]],1)-1),"Main Line")</f>
        <v>Main Line</v>
      </c>
      <c r="D1138" s="440" t="s">
        <v>63</v>
      </c>
      <c r="E1138" s="440" t="s">
        <v>68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/>
      <c r="H1138" s="440"/>
      <c r="I1138" s="440" t="s">
        <v>68</v>
      </c>
      <c r="J1138" s="432"/>
      <c r="K1138" s="432"/>
      <c r="L1138" s="432"/>
      <c r="M1138" s="431" t="s">
        <v>6273</v>
      </c>
      <c r="N1138" s="462">
        <v>46209</v>
      </c>
      <c r="O1138" s="432" t="s">
        <v>550</v>
      </c>
      <c r="P1138" s="431" t="s">
        <v>551</v>
      </c>
      <c r="Q1138" s="432" t="s">
        <v>2151</v>
      </c>
      <c r="R1138" s="432" t="str">
        <f>_xlfn.XLOOKUP(PV_DATA[[#This Row],[New Ark SKU]],Table9[New Ark SKU],Table9[Connector],,0)</f>
        <v>EVO2A</v>
      </c>
      <c r="S1138" s="443" t="str">
        <f>_xlfn.XLOOKUP(PV_DATA[[#This Row],[New Ark SKU]],Table9[New Ark SKU],Table9[Cable],,0)</f>
        <v>±1350mm</v>
      </c>
      <c r="T1138" s="443">
        <v>510</v>
      </c>
      <c r="U1138" s="1212" cm="1">
        <f t="array" ref="U1138">11880-fx_qty</f>
        <v>0</v>
      </c>
      <c r="V1138" s="449">
        <f>PV_DATA[[#This Row],[QUANTITY]]*PV_DATA[[#This Row],[WATT]]/1000000</f>
        <v>0</v>
      </c>
      <c r="W1138" s="467">
        <f>PV_DATA[[#This Row],[QUANTITY]]/PV_DATA[[#This Row],[Qty/Pallet]]</f>
        <v>0</v>
      </c>
      <c r="X1138" s="1114">
        <f>PV_DATA[[#This Row],[QUANTITY]]/PV_DATA[[#This Row],[Qty/CT]]</f>
        <v>0</v>
      </c>
      <c r="Y1138" s="432" t="s">
        <v>6650</v>
      </c>
      <c r="Z1138" s="431" t="str">
        <f t="shared" si="27"/>
        <v/>
      </c>
      <c r="AA1138" s="432"/>
      <c r="AB1138" s="442"/>
      <c r="AC1138" s="468" t="str">
        <f>IF(PV_DATA[[#This Row],[Pick-Up Date]]&lt;&gt;"",_xlfn.ISOWEEKNUM(PV_DATA[[#This Row],[Pick-Up Date]]),"")</f>
        <v/>
      </c>
      <c r="AD1138" s="432"/>
      <c r="AE1138" s="432"/>
      <c r="AF1138" s="432" t="s">
        <v>122</v>
      </c>
      <c r="AG1138" s="432" t="s">
        <v>123</v>
      </c>
      <c r="AH1138" s="432" t="s">
        <v>68</v>
      </c>
      <c r="AI1138" s="442"/>
      <c r="AJ1138" s="442"/>
      <c r="AK1138" s="438" t="str">
        <f>IFERROR(IF(VLOOKUP(AT1138,Vessel!A:F,5,FALSE)=0,"",VLOOKUP(AT1138,Vessel!A:F,5,FALSE)),"")</f>
        <v/>
      </c>
      <c r="AL1138" s="442"/>
      <c r="AM1138" s="442"/>
      <c r="AN1138" s="588" t="str">
        <f>IFERROR(IF(VLOOKUP(AT1138,Vessel!A:I,9,FALSE)=0,"",VLOOKUP(AT1138,Vessel!A:I,9,FALSE)),"")</f>
        <v/>
      </c>
      <c r="AO1138" s="432"/>
      <c r="AP1138" s="432"/>
      <c r="AQ1138" s="446"/>
      <c r="AR1138" s="432"/>
      <c r="AS1138" s="432"/>
      <c r="AT1138" s="432"/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2"/>
      <c r="AW1138" s="442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>
        <f>IF(ISERROR(PV_DATA[[#This Row],[New Ark PO status]]),"",_xlfn.XLOOKUP(PV_DATA[[#This Row],[SPTN-PVHK New Ark PO'#]],New_Ark_Data[Purchase order Number],New_Ark_Data[Estimated time of arrival],"",0))</f>
        <v>0</v>
      </c>
      <c r="AZ113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2">
        <f>IFERROR(PV_DATA[[#This Row],[ODP ETA Port]]+PV_DATA[[#This Row],[Customs/Leg3 Assumption]],"n/a")</f>
        <v>46355</v>
      </c>
      <c r="BB1138" s="443">
        <f>YEAR(PV_DATA[[#This Row],[ETA for New Ark update]])</f>
        <v>2026</v>
      </c>
      <c r="BC1138" s="432">
        <f>MONTH(PV_DATA[[#This Row],[ETA for New Ark update]])</f>
        <v>11</v>
      </c>
      <c r="BD1138" s="432">
        <f>IFERROR(_xlfn.ISOWEEKNUM(PV_DATA[[#This Row],[ETA for New Ark update]]),0)</f>
        <v>48</v>
      </c>
      <c r="BE1138" s="432">
        <f>_xlfn.XLOOKUP(PV_DATA[[#This Row],[New Ark SKU]],Table9[New Ark SKU],Table9[Total PCS per Pallet],,0)</f>
        <v>36</v>
      </c>
      <c r="BF1138" s="432">
        <f>_xlfn.XLOOKUP(PV_DATA[[#This Row],[New Ark SKU]],Table9[New Ark SKU],Table9[Total PCS per 40HQ Container],,0)</f>
        <v>792</v>
      </c>
      <c r="BG1138" s="432" t="str">
        <f>_xlfn.XLOOKUP(PV_DATA[[#This Row],[New Ark SKU]],Table9[New Ark SKU],Table9[Back Glass],,0)</f>
        <v>Black glazing</v>
      </c>
      <c r="BH1138" s="432" t="str">
        <f>_xlfn.XLOOKUP(PV_DATA[[#This Row],[PORT DESTINATION]],Table12[PORT DESTINATION],Table12[Cosco Line],,0)</f>
        <v>n/a</v>
      </c>
      <c r="BJ1138" s="431"/>
    </row>
    <row r="1139" spans="1:91" ht="10.5" hidden="1">
      <c r="A1139" s="440" t="s">
        <v>6891</v>
      </c>
      <c r="B1139" s="440" t="s">
        <v>111</v>
      </c>
      <c r="C1139" s="440" t="str">
        <f>IFERROR(LEFT(PV_DATA[[#This Row],[TCL REFERENCE]],FIND(".",PV_DATA[[#This Row],[TCL REFERENCE]],1)-1),"Main Line")</f>
        <v>Main Line</v>
      </c>
      <c r="D1139" s="440" t="s">
        <v>63</v>
      </c>
      <c r="E1139" s="440" t="s">
        <v>68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68</v>
      </c>
      <c r="H1139" s="440" t="s">
        <v>68</v>
      </c>
      <c r="I1139" s="440" t="s">
        <v>68</v>
      </c>
      <c r="J1139" s="440" t="s">
        <v>68</v>
      </c>
      <c r="K1139" s="432"/>
      <c r="L1139" s="432"/>
      <c r="M1139" s="431" t="s">
        <v>6273</v>
      </c>
      <c r="N1139" s="462">
        <v>46209</v>
      </c>
      <c r="O1139" s="432" t="s">
        <v>550</v>
      </c>
      <c r="P1139" s="431" t="s">
        <v>2134</v>
      </c>
      <c r="Q1139" s="432" t="s">
        <v>2135</v>
      </c>
      <c r="R1139" s="432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±1350mm</v>
      </c>
      <c r="T1139" s="443">
        <v>515</v>
      </c>
      <c r="U1139" s="1212" cm="1">
        <f t="array" ref="U1139">27576-fx_qty</f>
        <v>0</v>
      </c>
      <c r="V1139" s="449">
        <f>PV_DATA[[#This Row],[QUANTITY]]*PV_DATA[[#This Row],[WATT]]/1000000</f>
        <v>0</v>
      </c>
      <c r="W1139" s="467">
        <f>PV_DATA[[#This Row],[QUANTITY]]/PV_DATA[[#This Row],[Qty/Pallet]]</f>
        <v>0</v>
      </c>
      <c r="X1139" s="1114">
        <f>PV_DATA[[#This Row],[QUANTITY]]/PV_DATA[[#This Row],[Qty/CT]]</f>
        <v>0</v>
      </c>
      <c r="Y1139" s="432" t="s">
        <v>6650</v>
      </c>
      <c r="Z1139" s="431" t="str">
        <f t="shared" si="27"/>
        <v/>
      </c>
      <c r="AA1139" s="432"/>
      <c r="AB1139" s="442"/>
      <c r="AC1139" s="468" t="str">
        <f>IF(PV_DATA[[#This Row],[Pick-Up Date]]&lt;&gt;"",_xlfn.ISOWEEKNUM(PV_DATA[[#This Row],[Pick-Up Date]]),"")</f>
        <v/>
      </c>
      <c r="AD1139" s="432"/>
      <c r="AE1139" s="432"/>
      <c r="AF1139" s="432" t="s">
        <v>122</v>
      </c>
      <c r="AG1139" s="432" t="s">
        <v>123</v>
      </c>
      <c r="AH1139" s="432" t="s">
        <v>68</v>
      </c>
      <c r="AI1139" s="442"/>
      <c r="AJ1139" s="442"/>
      <c r="AK1139" s="438" t="str">
        <f>IFERROR(IF(VLOOKUP(AT1139,Vessel!A:F,5,FALSE)=0,"",VLOOKUP(AT1139,Vessel!A:F,5,FALSE)),"")</f>
        <v/>
      </c>
      <c r="AL1139" s="442"/>
      <c r="AM1139" s="442"/>
      <c r="AN1139" s="588" t="str">
        <f>IFERROR(IF(VLOOKUP(AT1139,Vessel!A:I,9,FALSE)=0,"",VLOOKUP(AT1139,Vessel!A:I,9,FALSE)),"")</f>
        <v/>
      </c>
      <c r="AO1139" s="432"/>
      <c r="AP1139" s="432"/>
      <c r="AQ1139" s="446"/>
      <c r="AR1139" s="432"/>
      <c r="AS1139" s="432"/>
      <c r="AT1139" s="432"/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2"/>
      <c r="AW1139" s="442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>IF(ISERROR(PV_DATA[[#This Row],[New Ark PO status]]),"",_xlfn.XLOOKUP(PV_DATA[[#This Row],[SPTN-PVHK New Ark PO'#]],New_Ark_Data[Purchase order Number],New_Ark_Data[Estimated time of arrival],"",0))</f>
        <v/>
      </c>
      <c r="AZ113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2" t="str">
        <f>IFERROR(PV_DATA[[#This Row],[ODP ETA Port]]+PV_DATA[[#This Row],[Customs/Leg3 Assumption]],"n/a")</f>
        <v>n/a</v>
      </c>
      <c r="BB1139" s="443" t="e">
        <f>YEAR(PV_DATA[[#This Row],[ETA for New Ark update]])</f>
        <v>#VALUE!</v>
      </c>
      <c r="BC1139" s="432" t="e">
        <f>MONTH(PV_DATA[[#This Row],[ETA for New Ark update]])</f>
        <v>#VALUE!</v>
      </c>
      <c r="BD1139" s="432">
        <f>IFERROR(_xlfn.ISOWEEKNUM(PV_DATA[[#This Row],[ETA for New Ark update]]),0)</f>
        <v>0</v>
      </c>
      <c r="BE1139" s="432">
        <f>_xlfn.XLOOKUP(PV_DATA[[#This Row],[New Ark SKU]],Table9[New Ark SKU],Table9[Total PCS per Pallet],,0)</f>
        <v>36</v>
      </c>
      <c r="BF1139" s="432">
        <f>_xlfn.XLOOKUP(PV_DATA[[#This Row],[New Ark SKU]],Table9[New Ark SKU],Table9[Total PCS per 40HQ Container],,0)</f>
        <v>792</v>
      </c>
      <c r="BG1139" s="432" t="str">
        <f>_xlfn.XLOOKUP(PV_DATA[[#This Row],[New Ark SKU]],Table9[New Ark SKU],Table9[Back Glass],,0)</f>
        <v>Black glazing</v>
      </c>
      <c r="BH1139" s="432" t="str">
        <f>_xlfn.XLOOKUP(PV_DATA[[#This Row],[PORT DESTINATION]],Table12[PORT DESTINATION],Table12[Cosco Line],,0)</f>
        <v>n/a</v>
      </c>
      <c r="BJ1139" s="431"/>
    </row>
    <row r="1140" spans="1:91" ht="10.5" hidden="1">
      <c r="A1140" s="440" t="s">
        <v>6892</v>
      </c>
      <c r="B1140" s="440" t="s">
        <v>111</v>
      </c>
      <c r="C1140" s="440" t="str">
        <f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68</v>
      </c>
      <c r="H1140" s="440" t="s">
        <v>68</v>
      </c>
      <c r="I1140" s="440" t="s">
        <v>68</v>
      </c>
      <c r="J1140" s="432" t="s">
        <v>68</v>
      </c>
      <c r="K1140" s="432"/>
      <c r="L1140" s="432"/>
      <c r="M1140" s="431" t="s">
        <v>6273</v>
      </c>
      <c r="N1140" s="462">
        <v>46223</v>
      </c>
      <c r="O1140" s="432" t="s">
        <v>132</v>
      </c>
      <c r="P1140" s="431" t="s">
        <v>189</v>
      </c>
      <c r="Q1140" s="432" t="s">
        <v>190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465</v>
      </c>
      <c r="U1140" s="1212" cm="1">
        <f t="array" ref="U1140">5184-fx_qty</f>
        <v>0</v>
      </c>
      <c r="V1140" s="449">
        <f>PV_DATA[[#This Row],[QUANTITY]]*PV_DATA[[#This Row],[WATT]]/1000000</f>
        <v>0</v>
      </c>
      <c r="W1140" s="467">
        <f>PV_DATA[[#This Row],[QUANTITY]]/PV_DATA[[#This Row],[Qty/Pallet]]</f>
        <v>0</v>
      </c>
      <c r="X1140" s="1114">
        <f>PV_DATA[[#This Row],[QUANTITY]]/PV_DATA[[#This Row],[Qty/CT]]</f>
        <v>0</v>
      </c>
      <c r="Y1140" s="432" t="s">
        <v>6650</v>
      </c>
      <c r="Z1140" s="431" t="str">
        <f t="shared" si="27"/>
        <v/>
      </c>
      <c r="AA1140" s="432"/>
      <c r="AB1140" s="442"/>
      <c r="AC1140" s="468" t="str">
        <f>IF(PV_DATA[[#This Row],[Pick-Up Date]]&lt;&gt;"",_xlfn.ISOWEEKNUM(PV_DATA[[#This Row],[Pick-Up Date]]),"")</f>
        <v/>
      </c>
      <c r="AD1140" s="432"/>
      <c r="AE1140" s="432"/>
      <c r="AF1140" s="432" t="s">
        <v>122</v>
      </c>
      <c r="AG1140" s="432" t="s">
        <v>123</v>
      </c>
      <c r="AH1140" s="432" t="s">
        <v>68</v>
      </c>
      <c r="AI1140" s="442"/>
      <c r="AJ1140" s="442"/>
      <c r="AK1140" s="438" t="str">
        <f>IFERROR(IF(VLOOKUP(AT1140,Vessel!A:F,5,FALSE)=0,"",VLOOKUP(AT1140,Vessel!A:F,5,FALSE)),"")</f>
        <v/>
      </c>
      <c r="AL1140" s="442"/>
      <c r="AM1140" s="442"/>
      <c r="AN1140" s="588" t="str">
        <f>IFERROR(IF(VLOOKUP(AT1140,Vessel!A:I,9,FALSE)=0,"",VLOOKUP(AT1140,Vessel!A:I,9,FALSE)),"")</f>
        <v/>
      </c>
      <c r="AO1140" s="432"/>
      <c r="AP1140" s="432"/>
      <c r="AQ1140" s="446"/>
      <c r="AR1140" s="432"/>
      <c r="AS1140" s="432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2"/>
      <c r="AW1140" s="442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2" t="str">
        <f>IFERROR(PV_DATA[[#This Row],[ODP ETA Port]]+PV_DATA[[#This Row],[Customs/Leg3 Assumption]],"n/a")</f>
        <v>n/a</v>
      </c>
      <c r="BB1140" s="443" t="e">
        <f>YEAR(PV_DATA[[#This Row],[ETA for New Ark update]])</f>
        <v>#VALUE!</v>
      </c>
      <c r="BC1140" s="432" t="e">
        <f>MONTH(PV_DATA[[#This Row],[ETA for New Ark update]])</f>
        <v>#VALUE!</v>
      </c>
      <c r="BD1140" s="432">
        <f>IFERROR(_xlfn.ISOWEEKNUM(PV_DATA[[#This Row],[ETA for New Ark update]]),0)</f>
        <v>0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White glazing</v>
      </c>
      <c r="BH1140" s="432" t="str">
        <f>_xlfn.XLOOKUP(PV_DATA[[#This Row],[PORT DESTINATION]],Table12[PORT DESTINATION],Table12[Cosco Line],,0)</f>
        <v>n/a</v>
      </c>
      <c r="BJ1140" s="431"/>
    </row>
    <row r="1141" spans="1:91" s="432" customFormat="1" ht="10.5" hidden="1">
      <c r="A1141" s="440" t="s">
        <v>6893</v>
      </c>
      <c r="B1141" s="440" t="s">
        <v>111</v>
      </c>
      <c r="C1141" s="440" t="str">
        <f>IFERROR(LEFT(PV_DATA[[#This Row],[TCL REFERENCE]],FIND(".",PV_DATA[[#This Row],[TCL REFERENCE]],1)-1),"Main Line")</f>
        <v>Main Line</v>
      </c>
      <c r="D1141" s="440" t="s">
        <v>63</v>
      </c>
      <c r="E1141" s="440" t="s">
        <v>68</v>
      </c>
      <c r="F1141" s="44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M1141" s="431" t="s">
        <v>6273</v>
      </c>
      <c r="N1141" s="462">
        <v>46223</v>
      </c>
      <c r="O1141" s="432" t="s">
        <v>132</v>
      </c>
      <c r="P1141" s="432" t="s">
        <v>1062</v>
      </c>
      <c r="Q1141" s="432" t="s">
        <v>1063</v>
      </c>
      <c r="R1141" s="432" t="str">
        <f>_xlfn.XLOOKUP(PV_DATA[[#This Row],[New Ark SKU]],Table9[New Ark SKU],Table9[Connector],,0)</f>
        <v>EVO2A</v>
      </c>
      <c r="S1141" s="443" t="str">
        <f>_xlfn.XLOOKUP(PV_DATA[[#This Row],[New Ark SKU]],Table9[New Ark SKU],Table9[Cable],,0)</f>
        <v>±1200mm</v>
      </c>
      <c r="T1141" s="443">
        <v>470</v>
      </c>
      <c r="U1141" s="1212" cm="1">
        <f t="array" ref="U1141">16416-fx_qty</f>
        <v>0</v>
      </c>
      <c r="V1141" s="449">
        <f>PV_DATA[[#This Row],[QUANTITY]]*PV_DATA[[#This Row],[WATT]]/1000000</f>
        <v>0</v>
      </c>
      <c r="W1141" s="467">
        <f>PV_DATA[[#This Row],[QUANTITY]]/PV_DATA[[#This Row],[Qty/Pallet]]</f>
        <v>0</v>
      </c>
      <c r="X1141" s="1114">
        <f>PV_DATA[[#This Row],[QUANTITY]]/PV_DATA[[#This Row],[Qty/CT]]</f>
        <v>0</v>
      </c>
      <c r="Y1141" s="432" t="s">
        <v>6650</v>
      </c>
      <c r="Z1141" s="431" t="str">
        <f t="shared" si="27"/>
        <v/>
      </c>
      <c r="AB1141" s="442"/>
      <c r="AC1141" s="468" t="str">
        <f>IF(PV_DATA[[#This Row],[Pick-Up Date]]&lt;&gt;"",_xlfn.ISOWEEKNUM(PV_DATA[[#This Row],[Pick-Up Date]]),"")</f>
        <v/>
      </c>
      <c r="AF1141" s="432" t="s">
        <v>122</v>
      </c>
      <c r="AG1141" s="432" t="s">
        <v>123</v>
      </c>
      <c r="AH1141" s="432" t="s">
        <v>68</v>
      </c>
      <c r="AI1141" s="442"/>
      <c r="AJ1141" s="442"/>
      <c r="AK1141" s="438" t="str">
        <f>IFERROR(IF(VLOOKUP(AT1141,Vessel!A:F,5,FALSE)=0,"",VLOOKUP(AT1141,Vessel!A:F,5,FALSE)),"")</f>
        <v/>
      </c>
      <c r="AL1141" s="442"/>
      <c r="AM1141" s="442"/>
      <c r="AN1141" s="588" t="str">
        <f>IFERROR(IF(VLOOKUP(AT1141,Vessel!A:I,9,FALSE)=0,"",VLOOKUP(AT1141,Vessel!A:I,9,FALSE)),"")</f>
        <v/>
      </c>
      <c r="AQ1141" s="446"/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2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2">
        <f>IF(ISERROR(PV_DATA[[#This Row],[New Ark PO status]]),"",_xlfn.XLOOKUP(PV_DATA[[#This Row],[SPTN-PVHK New Ark PO'#]],New_Ark_Data[Purchase order Number],New_Ark_Data[Estimated time of arrival],"",0))</f>
        <v>0</v>
      </c>
      <c r="AZ114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2" t="str">
        <f>IFERROR(PV_DATA[[#This Row],[ODP ETA Port]]+PV_DATA[[#This Row],[Customs/Leg3 Assumption]],"n/a")</f>
        <v>n/a</v>
      </c>
      <c r="BB1141" s="443" t="e">
        <f>YEAR(PV_DATA[[#This Row],[ETA for New Ark update]])</f>
        <v>#VALUE!</v>
      </c>
      <c r="BC1141" s="432" t="e">
        <f>MONTH(PV_DATA[[#This Row],[ETA for New Ark update]])</f>
        <v>#VALUE!</v>
      </c>
      <c r="BD1141" s="432">
        <f>IFERROR(_xlfn.ISOWEEKNUM(PV_DATA[[#This Row],[ETA for New Ark update]]),0)</f>
        <v>0</v>
      </c>
      <c r="BE1141" s="432">
        <f>_xlfn.XLOOKUP(PV_DATA[[#This Row],[New Ark SKU]],Table9[New Ark SKU],Table9[Total PCS per Pallet],,0)</f>
        <v>36</v>
      </c>
      <c r="BF1141" s="432">
        <f>_xlfn.XLOOKUP(PV_DATA[[#This Row],[New Ark SKU]],Table9[New Ark SKU],Table9[Total PCS per 40HQ Container],,0)</f>
        <v>864</v>
      </c>
      <c r="BG1141" s="432" t="str">
        <f>_xlfn.XLOOKUP(PV_DATA[[#This Row],[New Ark SKU]],Table9[New Ark SKU],Table9[Back Glass],,0)</f>
        <v>White glazing</v>
      </c>
      <c r="BH1141" s="432" t="str">
        <f>_xlfn.XLOOKUP(PV_DATA[[#This Row],[PORT DESTINATION]],Table12[PORT DESTINATION],Table12[Cosco Line],,0)</f>
        <v>n/a</v>
      </c>
    </row>
    <row r="1142" spans="1:91" ht="10.5" hidden="1">
      <c r="A1142" s="440" t="s">
        <v>6894</v>
      </c>
      <c r="B1142" s="440" t="s">
        <v>5769</v>
      </c>
      <c r="C1142" s="440" t="str">
        <f>IFERROR(LEFT(PV_DATA[[#This Row],[TCL REFERENCE]],FIND(".",PV_DATA[[#This Row],[TCL REFERENCE]],1)-1),"Main Line")</f>
        <v>Main Line</v>
      </c>
      <c r="D1142" s="440" t="s">
        <v>63</v>
      </c>
      <c r="E1142" s="440" t="s">
        <v>68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 t="s">
        <v>68</v>
      </c>
      <c r="H1142" s="440" t="s">
        <v>68</v>
      </c>
      <c r="I1142" s="440" t="s">
        <v>68</v>
      </c>
      <c r="J1142" s="432" t="s">
        <v>68</v>
      </c>
      <c r="K1142" s="432"/>
      <c r="L1142" s="432"/>
      <c r="M1142" s="431" t="s">
        <v>6273</v>
      </c>
      <c r="N1142" s="462">
        <v>46223</v>
      </c>
      <c r="O1142" s="432" t="s">
        <v>4526</v>
      </c>
      <c r="P1142" s="431" t="s">
        <v>195</v>
      </c>
      <c r="Q1142" s="432" t="s">
        <v>196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±1200mm</v>
      </c>
      <c r="T1142" s="443">
        <v>450</v>
      </c>
      <c r="U1142" s="1212" cm="1">
        <f t="array" ref="U1142">17784-fx_qty</f>
        <v>0</v>
      </c>
      <c r="V1142" s="449">
        <f>PV_DATA[[#This Row],[QUANTITY]]*PV_DATA[[#This Row],[WATT]]/1000000</f>
        <v>0</v>
      </c>
      <c r="W1142" s="467">
        <f>PV_DATA[[#This Row],[QUANTITY]]/PV_DATA[[#This Row],[Qty/Pallet]]</f>
        <v>0</v>
      </c>
      <c r="X1142" s="1114">
        <f>PV_DATA[[#This Row],[QUANTITY]]/PV_DATA[[#This Row],[Qty/CT]]</f>
        <v>0</v>
      </c>
      <c r="Y1142" s="432" t="s">
        <v>6650</v>
      </c>
      <c r="Z1142" s="431" t="str">
        <f t="shared" si="27"/>
        <v/>
      </c>
      <c r="AA1142" s="432" t="s">
        <v>6108</v>
      </c>
      <c r="AB1142" s="442"/>
      <c r="AC1142" s="468" t="str">
        <f>IF(PV_DATA[[#This Row],[Pick-Up Date]]&lt;&gt;"",_xlfn.ISOWEEKNUM(PV_DATA[[#This Row],[Pick-Up Date]]),"")</f>
        <v/>
      </c>
      <c r="AD1142" s="432"/>
      <c r="AE1142" s="432"/>
      <c r="AF1142" s="448" t="s">
        <v>6110</v>
      </c>
      <c r="AG1142" s="448" t="s">
        <v>123</v>
      </c>
      <c r="AH1142" s="432" t="s">
        <v>68</v>
      </c>
      <c r="AI1142" s="442"/>
      <c r="AJ1142" s="442"/>
      <c r="AK1142" s="438" t="str">
        <f>IFERROR(IF(VLOOKUP(AT1142,Vessel!A:F,5,FALSE)=0,"",VLOOKUP(AT1142,Vessel!A:F,5,FALSE)),"")</f>
        <v/>
      </c>
      <c r="AL1142" s="442"/>
      <c r="AM1142" s="442"/>
      <c r="AN1142" s="588" t="str">
        <f>IFERROR(IF(VLOOKUP(AT1142,Vessel!A:I,9,FALSE)=0,"",VLOOKUP(AT1142,Vessel!A:I,9,FALSE)),"")</f>
        <v/>
      </c>
      <c r="AO1142" s="432"/>
      <c r="AP1142" s="432"/>
      <c r="AQ1142" s="446"/>
      <c r="AR1142" s="432"/>
      <c r="AS1142" s="432"/>
      <c r="AT1142" s="432"/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2"/>
      <c r="AW1142" s="442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2" t="str">
        <f>IFERROR(PV_DATA[[#This Row],[ODP ETA Port]]+PV_DATA[[#This Row],[Customs/Leg3 Assumption]],"n/a")</f>
        <v>n/a</v>
      </c>
      <c r="BB1142" s="443" t="e">
        <f>YEAR(PV_DATA[[#This Row],[ETA for New Ark update]])</f>
        <v>#VALUE!</v>
      </c>
      <c r="BC1142" s="432" t="e">
        <f>MONTH(PV_DATA[[#This Row],[ETA for New Ark update]])</f>
        <v>#VALUE!</v>
      </c>
      <c r="BD1142" s="432">
        <f>IFERROR(_xlfn.ISOWEEKNUM(PV_DATA[[#This Row],[ETA for New Ark update]]),0)</f>
        <v>0</v>
      </c>
      <c r="BE1142" s="432">
        <f>_xlfn.XLOOKUP(PV_DATA[[#This Row],[New Ark SKU]],Table9[New Ark SKU],Table9[Total PCS per Pallet],,0)</f>
        <v>36</v>
      </c>
      <c r="BF1142" s="432">
        <f>_xlfn.XLOOKUP(PV_DATA[[#This Row],[New Ark SKU]],Table9[New Ark SKU],Table9[Total PCS per 40HQ Container],,0)</f>
        <v>936</v>
      </c>
      <c r="BG1142" s="432" t="str">
        <f>_xlfn.XLOOKUP(PV_DATA[[#This Row],[New Ark SKU]],Table9[New Ark SKU],Table9[Back Glass],,0)</f>
        <v>Black glazing</v>
      </c>
      <c r="BH1142" s="432" t="str">
        <f>_xlfn.XLOOKUP(PV_DATA[[#This Row],[PORT DESTINATION]],Table12[PORT DESTINATION],Table12[Cosco Line],,0)</f>
        <v>n/a</v>
      </c>
      <c r="BJ1142" s="431"/>
    </row>
    <row r="1143" spans="1:91" ht="10.5" hidden="1">
      <c r="A1143" s="440" t="s">
        <v>6895</v>
      </c>
      <c r="B1143" s="440" t="s">
        <v>5769</v>
      </c>
      <c r="C1143" s="440" t="str">
        <f>IFERROR(LEFT(PV_DATA[[#This Row],[TCL REFERENCE]],FIND(".",PV_DATA[[#This Row],[TCL REFERENCE]],1)-1),"Main Line")</f>
        <v>Main Line</v>
      </c>
      <c r="D1143" s="440" t="s">
        <v>63</v>
      </c>
      <c r="E1143" s="440" t="s">
        <v>68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68</v>
      </c>
      <c r="H1143" s="440" t="s">
        <v>68</v>
      </c>
      <c r="I1143" s="440" t="s">
        <v>68</v>
      </c>
      <c r="J1143" s="432" t="s">
        <v>68</v>
      </c>
      <c r="K1143" s="432"/>
      <c r="L1143" s="432"/>
      <c r="M1143" s="431" t="s">
        <v>6273</v>
      </c>
      <c r="N1143" s="462">
        <v>46223</v>
      </c>
      <c r="O1143" s="432" t="s">
        <v>4526</v>
      </c>
      <c r="P1143" s="431" t="s">
        <v>965</v>
      </c>
      <c r="Q1143" s="432" t="s">
        <v>966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±1200mm</v>
      </c>
      <c r="T1143" s="443">
        <v>455</v>
      </c>
      <c r="U1143" s="1212" cm="1">
        <f t="array" ref="U1143">4680-fx_qty</f>
        <v>0</v>
      </c>
      <c r="V1143" s="449">
        <f>PV_DATA[[#This Row],[QUANTITY]]*PV_DATA[[#This Row],[WATT]]/1000000</f>
        <v>0</v>
      </c>
      <c r="W1143" s="467">
        <f>PV_DATA[[#This Row],[QUANTITY]]/PV_DATA[[#This Row],[Qty/Pallet]]</f>
        <v>0</v>
      </c>
      <c r="X1143" s="1114">
        <f>PV_DATA[[#This Row],[QUANTITY]]/PV_DATA[[#This Row],[Qty/CT]]</f>
        <v>0</v>
      </c>
      <c r="Y1143" s="432" t="s">
        <v>6650</v>
      </c>
      <c r="Z1143" s="431" t="str">
        <f t="shared" si="27"/>
        <v/>
      </c>
      <c r="AA1143" s="432"/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48" t="s">
        <v>6110</v>
      </c>
      <c r="AG1143" s="448" t="s">
        <v>123</v>
      </c>
      <c r="AH1143" s="432" t="s">
        <v>68</v>
      </c>
      <c r="AI1143" s="442"/>
      <c r="AJ1143" s="442"/>
      <c r="AK1143" s="438" t="str">
        <f>IFERROR(IF(VLOOKUP(AT1143,Vessel!A:F,5,FALSE)=0,"",VLOOKUP(AT1143,Vessel!A:F,5,FALSE)),"")</f>
        <v/>
      </c>
      <c r="AL1143" s="442"/>
      <c r="AM1143" s="442"/>
      <c r="AN1143" s="588" t="str">
        <f>IFERROR(IF(VLOOKUP(AT1143,Vessel!A:I,9,FALSE)=0,"",VLOOKUP(AT1143,Vessel!A:I,9,FALSE)),"")</f>
        <v/>
      </c>
      <c r="AO1143" s="432"/>
      <c r="AP1143" s="432"/>
      <c r="AQ1143" s="446"/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 t="str">
        <f>IFERROR(PV_DATA[[#This Row],[ODP ETA Port]]+PV_DATA[[#This Row],[Customs/Leg3 Assumption]],"n/a")</f>
        <v>n/a</v>
      </c>
      <c r="BB1143" s="443" t="e">
        <f>YEAR(PV_DATA[[#This Row],[ETA for New Ark update]])</f>
        <v>#VALUE!</v>
      </c>
      <c r="BC1143" s="432" t="e">
        <f>MONTH(PV_DATA[[#This Row],[ETA for New Ark update]])</f>
        <v>#VALUE!</v>
      </c>
      <c r="BD1143" s="432">
        <f>IFERROR(_xlfn.ISOWEEKNUM(PV_DATA[[#This Row],[ETA for New Ark update]]),0)</f>
        <v>0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936</v>
      </c>
      <c r="BG1143" s="432" t="str">
        <f>_xlfn.XLOOKUP(PV_DATA[[#This Row],[New Ark SKU]],Table9[New Ark SKU],Table9[Back Glass],,0)</f>
        <v>Black glazing</v>
      </c>
      <c r="BH1143" s="432" t="str">
        <f>_xlfn.XLOOKUP(PV_DATA[[#This Row],[PORT DESTINATION]],Table12[PORT DESTINATION],Table12[Cosco Line],,0)</f>
        <v>n/a</v>
      </c>
      <c r="BJ1143" s="431"/>
    </row>
    <row r="1144" spans="1:91" ht="10.5" hidden="1">
      <c r="A1144" s="440" t="s">
        <v>6896</v>
      </c>
      <c r="B1144" s="440" t="s">
        <v>1757</v>
      </c>
      <c r="C1144" s="440" t="str">
        <f>IFERROR(LEFT(PV_DATA[[#This Row],[TCL REFERENCE]],FIND(".",PV_DATA[[#This Row],[TCL REFERENCE]],1)-1),"Main Line")</f>
        <v>Main Line</v>
      </c>
      <c r="D1144" s="440" t="s">
        <v>63</v>
      </c>
      <c r="E1144" s="440" t="s">
        <v>68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68</v>
      </c>
      <c r="H1144" s="440" t="s">
        <v>68</v>
      </c>
      <c r="I1144" s="440" t="s">
        <v>68</v>
      </c>
      <c r="J1144" s="432" t="s">
        <v>68</v>
      </c>
      <c r="K1144" s="432"/>
      <c r="L1144" s="432"/>
      <c r="M1144" s="431" t="s">
        <v>6273</v>
      </c>
      <c r="N1144" s="462">
        <v>46209</v>
      </c>
      <c r="O1144" s="432" t="s">
        <v>4526</v>
      </c>
      <c r="P1144" s="431" t="s">
        <v>71</v>
      </c>
      <c r="Q1144" s="432" t="s">
        <v>72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500</v>
      </c>
      <c r="U1144" s="1212" cm="1">
        <f t="array" ref="U1144">27648-fx_qty</f>
        <v>0</v>
      </c>
      <c r="V1144" s="449">
        <f>PV_DATA[[#This Row],[QUANTITY]]*PV_DATA[[#This Row],[WATT]]/1000000</f>
        <v>0</v>
      </c>
      <c r="W1144" s="467">
        <f>PV_DATA[[#This Row],[QUANTITY]]/PV_DATA[[#This Row],[Qty/Pallet]]</f>
        <v>0</v>
      </c>
      <c r="X1144" s="1114">
        <f>PV_DATA[[#This Row],[QUANTITY]]/PV_DATA[[#This Row],[Qty/CT]]</f>
        <v>0</v>
      </c>
      <c r="Y1144" s="432" t="s">
        <v>6650</v>
      </c>
      <c r="Z1144" s="431" t="str">
        <f t="shared" si="27"/>
        <v/>
      </c>
      <c r="AA1144" s="432"/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48" t="s">
        <v>1525</v>
      </c>
      <c r="AG1144" s="448" t="s">
        <v>1525</v>
      </c>
      <c r="AH1144" s="432" t="s">
        <v>68</v>
      </c>
      <c r="AI1144" s="442"/>
      <c r="AJ1144" s="442"/>
      <c r="AK1144" s="438" t="str">
        <f>IFERROR(IF(VLOOKUP(AT1144,Vessel!A:F,5,FALSE)=0,"",VLOOKUP(AT1144,Vessel!A:F,5,FALSE)),"")</f>
        <v/>
      </c>
      <c r="AL1144" s="442"/>
      <c r="AM1144" s="442"/>
      <c r="AN1144" s="588" t="str">
        <f>IFERROR(IF(VLOOKUP(AT1144,Vessel!A:I,9,FALSE)=0,"",VLOOKUP(AT1144,Vessel!A:I,9,FALSE)),"")</f>
        <v/>
      </c>
      <c r="AO1144" s="432"/>
      <c r="AP1144" s="432"/>
      <c r="AQ1144" s="446"/>
      <c r="AR1144" s="621"/>
      <c r="AS1144" s="432"/>
      <c r="AT1144" s="432"/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2"/>
      <c r="AW1144" s="442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 t="str">
        <f>IF(ISERROR(PV_DATA[[#This Row],[New Ark PO status]]),"",_xlfn.XLOOKUP(PV_DATA[[#This Row],[SPTN-PVHK New Ark PO'#]],New_Ark_Data[Purchase order Number],New_Ark_Data[Estimated time of arrival],"",0))</f>
        <v/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2" t="str">
        <f>IFERROR(PV_DATA[[#This Row],[ODP ETA Port]]+PV_DATA[[#This Row],[Customs/Leg3 Assumption]],"n/a")</f>
        <v>n/a</v>
      </c>
      <c r="BB1144" s="443" t="e">
        <f>YEAR(PV_DATA[[#This Row],[ETA for New Ark update]])</f>
        <v>#VALUE!</v>
      </c>
      <c r="BC1144" s="432" t="e">
        <f>MONTH(PV_DATA[[#This Row],[ETA for New Ark update]])</f>
        <v>#VALUE!</v>
      </c>
      <c r="BD1144" s="432">
        <f>IFERROR(_xlfn.ISOWEEKNUM(PV_DATA[[#This Row],[ETA for New Ark update]]),0)</f>
        <v>0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864</v>
      </c>
      <c r="BG1144" s="432" t="str">
        <f>_xlfn.XLOOKUP(PV_DATA[[#This Row],[New Ark SKU]],Table9[New Ark SKU],Table9[Back Glass],,0)</f>
        <v>Black glazing</v>
      </c>
      <c r="BH1144" s="432" t="str">
        <f>_xlfn.XLOOKUP(PV_DATA[[#This Row],[PORT DESTINATION]],Table12[PORT DESTINATION],Table12[Cosco Line],,0)</f>
        <v>n/a</v>
      </c>
      <c r="BJ1144" s="431"/>
    </row>
    <row r="1145" spans="1:91" s="860" customFormat="1" ht="10.5" hidden="1">
      <c r="A1145" s="460" t="s">
        <v>6897</v>
      </c>
      <c r="B1145" s="463" t="s">
        <v>61</v>
      </c>
      <c r="C1145" s="463" t="str">
        <f>IFERROR(LEFT(PV_DATA[[#This Row],[TCL REFERENCE]],FIND(".",PV_DATA[[#This Row],[TCL REFERENCE]],1)-1),"Main Line")</f>
        <v>26Aug005</v>
      </c>
      <c r="D1145" s="463" t="s">
        <v>63</v>
      </c>
      <c r="E1145" s="463" t="s">
        <v>64</v>
      </c>
      <c r="F1145" s="463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3" t="s">
        <v>402</v>
      </c>
      <c r="H1145" s="463" t="s">
        <v>67</v>
      </c>
      <c r="I1145" s="463" t="s">
        <v>689</v>
      </c>
      <c r="J1145" s="431" t="s">
        <v>96</v>
      </c>
      <c r="K1145" s="431"/>
      <c r="L1145" s="431"/>
      <c r="M1145" s="431" t="s">
        <v>6273</v>
      </c>
      <c r="N1145" s="433">
        <v>46258</v>
      </c>
      <c r="O1145" s="431" t="s">
        <v>4526</v>
      </c>
      <c r="P1145" s="431" t="s">
        <v>706</v>
      </c>
      <c r="Q1145" s="431" t="s">
        <v>707</v>
      </c>
      <c r="R1145" s="431" t="str">
        <f>_xlfn.XLOOKUP(PV_DATA[[#This Row],[New Ark SKU]],Table9[New Ark SKU],Table9[Connector],,0)</f>
        <v>EVO2A</v>
      </c>
      <c r="S1145" s="434" t="str">
        <f>_xlfn.XLOOKUP(PV_DATA[[#This Row],[New Ark SKU]],Table9[New Ark SKU],Table9[Cable],,0)</f>
        <v>±1200mm</v>
      </c>
      <c r="T1145" s="434">
        <v>500</v>
      </c>
      <c r="U1145" s="1207">
        <v>3456</v>
      </c>
      <c r="V1145" s="435">
        <f>PV_DATA[[#This Row],[QUANTITY]]*PV_DATA[[#This Row],[WATT]]/1000000</f>
        <v>1.728</v>
      </c>
      <c r="W1145" s="436">
        <f>PV_DATA[[#This Row],[QUANTITY]]/PV_DATA[[#This Row],[Qty/Pallet]]</f>
        <v>96</v>
      </c>
      <c r="X1145" s="1110">
        <f>PV_DATA[[#This Row],[QUANTITY]]/PV_DATA[[#This Row],[Qty/CT]]</f>
        <v>4</v>
      </c>
      <c r="Y1145" s="431" t="s">
        <v>2466</v>
      </c>
      <c r="Z1145" s="431" t="str">
        <f t="shared" si="27"/>
        <v>IN-TRANSIT</v>
      </c>
      <c r="AA1145" s="431" t="s">
        <v>6898</v>
      </c>
      <c r="AB1145" s="1019">
        <v>46274</v>
      </c>
      <c r="AC1145" s="487">
        <f>IF(PV_DATA[[#This Row],[Pick-Up Date]]&lt;&gt;"",_xlfn.ISOWEEKNUM(PV_DATA[[#This Row],[Pick-Up Date]]),"")</f>
        <v>37</v>
      </c>
      <c r="AD1145" s="431" t="s">
        <v>6899</v>
      </c>
      <c r="AE1145" s="431"/>
      <c r="AF1145" s="431" t="s">
        <v>77</v>
      </c>
      <c r="AG1145" s="431" t="s">
        <v>61</v>
      </c>
      <c r="AH1145" s="431" t="s">
        <v>78</v>
      </c>
      <c r="AI1145" s="1023">
        <v>46279</v>
      </c>
      <c r="AJ1145" s="438">
        <f>IFERROR(VLOOKUP(AT1145, Vessel!A:D, 4, FALSE), "")</f>
        <v>46279.979166666664</v>
      </c>
      <c r="AK1145" s="438">
        <f>IFERROR(IF(VLOOKUP(AT1145,Vessel!A:F,5,FALSE)=0,"",VLOOKUP(AT1145,Vessel!A:F,5,FALSE)),"")</f>
        <v>46279.989803240744</v>
      </c>
      <c r="AL1145" s="1023">
        <v>46349</v>
      </c>
      <c r="AM1145" s="620">
        <f>IFERROR(VLOOKUP(AT1145, Vessel!A:H, 8, FALSE), "")</f>
        <v>46349.791666666664</v>
      </c>
      <c r="AN1145" s="588" t="str">
        <f>IFERROR(IF(VLOOKUP(AT1145,Vessel!A:I,9,FALSE)=0,"",VLOOKUP(AT1145,Vessel!A:I,9,FALSE)),"")</f>
        <v/>
      </c>
      <c r="AO1145" s="431"/>
      <c r="AP1145" s="431" t="s">
        <v>6777</v>
      </c>
      <c r="AQ1145" s="1268" t="s">
        <v>80</v>
      </c>
      <c r="AR1145" s="432" t="s">
        <v>6900</v>
      </c>
      <c r="AS1145" s="1269" t="s">
        <v>6901</v>
      </c>
      <c r="AT1145" s="431" t="s">
        <v>6901</v>
      </c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45" s="431"/>
      <c r="AW1145" s="438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8" t="str">
        <f>IF(ISERROR(PV_DATA[[#This Row],[New Ark PO status]]),"",_xlfn.XLOOKUP(PV_DATA[[#This Row],[SPTN-PVHK New Ark PO'#]],New_Ark_Data[Purchase order Number],New_Ark_Data[Estimated time of arrival],"",0))</f>
        <v/>
      </c>
      <c r="AZ11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38">
        <f>IFERROR(PV_DATA[[#This Row],[ODP ETA Port]]+PV_DATA[[#This Row],[Customs/Leg3 Assumption]],"n/a")</f>
        <v>46357.791666666664</v>
      </c>
      <c r="BB1145" s="434">
        <f>YEAR(PV_DATA[[#This Row],[ETA for New Ark update]])</f>
        <v>2026</v>
      </c>
      <c r="BC1145" s="431">
        <f>MONTH(PV_DATA[[#This Row],[ETA for New Ark update]])</f>
        <v>12</v>
      </c>
      <c r="BD1145" s="431">
        <f>IFERROR(_xlfn.ISOWEEKNUM(PV_DATA[[#This Row],[ETA for New Ark update]]),0)</f>
        <v>49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864</v>
      </c>
      <c r="BG1145" s="431" t="str">
        <f>_xlfn.XLOOKUP(PV_DATA[[#This Row],[New Ark SKU]],Table9[New Ark SKU],Table9[Back Glass],,0)</f>
        <v>Black glazing</v>
      </c>
      <c r="BH1145" s="431" t="str">
        <f>_xlfn.XLOOKUP(PV_DATA[[#This Row],[PORT DESTINATION]],Table12[PORT DESTINATION],Table12[Cosco Line],,0)</f>
        <v>AEM</v>
      </c>
    </row>
    <row r="1146" spans="1:91" s="860" customFormat="1" ht="10.5" hidden="1">
      <c r="A1146" s="460" t="s">
        <v>6902</v>
      </c>
      <c r="B1146" s="463" t="s">
        <v>61</v>
      </c>
      <c r="C1146" s="463" t="str">
        <f>IFERROR(LEFT(PV_DATA[[#This Row],[TCL REFERENCE]],FIND(".",PV_DATA[[#This Row],[TCL REFERENCE]],1)-1),"Main Line")</f>
        <v>26Aug005</v>
      </c>
      <c r="D1146" s="463" t="s">
        <v>63</v>
      </c>
      <c r="E1146" s="463" t="s">
        <v>64</v>
      </c>
      <c r="F1146" s="463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3" t="s">
        <v>402</v>
      </c>
      <c r="H1146" s="463" t="s">
        <v>67</v>
      </c>
      <c r="I1146" s="463" t="s">
        <v>689</v>
      </c>
      <c r="J1146" s="431" t="s">
        <v>96</v>
      </c>
      <c r="K1146" s="431"/>
      <c r="L1146" s="431"/>
      <c r="M1146" s="431" t="s">
        <v>6531</v>
      </c>
      <c r="N1146" s="433">
        <v>46258</v>
      </c>
      <c r="O1146" s="431" t="s">
        <v>4526</v>
      </c>
      <c r="P1146" s="431" t="s">
        <v>706</v>
      </c>
      <c r="Q1146" s="431" t="s">
        <v>707</v>
      </c>
      <c r="R1146" s="431" t="str">
        <f>_xlfn.XLOOKUP(PV_DATA[[#This Row],[New Ark SKU]],Table9[New Ark SKU],Table9[Connector],,0)</f>
        <v>EVO2A</v>
      </c>
      <c r="S1146" s="434" t="str">
        <f>_xlfn.XLOOKUP(PV_DATA[[#This Row],[New Ark SKU]],Table9[New Ark SKU],Table9[Cable],,0)</f>
        <v>±1200mm</v>
      </c>
      <c r="T1146" s="434">
        <v>500</v>
      </c>
      <c r="U1146" s="1207">
        <f>864*2</f>
        <v>1728</v>
      </c>
      <c r="V1146" s="435">
        <f>PV_DATA[[#This Row],[QUANTITY]]*PV_DATA[[#This Row],[WATT]]/1000000</f>
        <v>0.86399999999999999</v>
      </c>
      <c r="W1146" s="436">
        <f>PV_DATA[[#This Row],[QUANTITY]]/PV_DATA[[#This Row],[Qty/Pallet]]</f>
        <v>48</v>
      </c>
      <c r="X1146" s="1110">
        <f>PV_DATA[[#This Row],[QUANTITY]]/PV_DATA[[#This Row],[Qty/CT]]</f>
        <v>2</v>
      </c>
      <c r="Y1146" s="431" t="s">
        <v>2466</v>
      </c>
      <c r="Z1146" s="431" t="str">
        <f>IF(AN1146&lt;&gt;"","COMPLETED",IF(AK1146&lt;&gt;"","IN-TRANSIT",""))</f>
        <v>IN-TRANSIT</v>
      </c>
      <c r="AA1146" s="431" t="s">
        <v>6898</v>
      </c>
      <c r="AB1146" s="1019">
        <v>46274</v>
      </c>
      <c r="AC1146" s="487">
        <f>IF(PV_DATA[[#This Row],[Pick-Up Date]]&lt;&gt;"",_xlfn.ISOWEEKNUM(PV_DATA[[#This Row],[Pick-Up Date]]),"")</f>
        <v>37</v>
      </c>
      <c r="AD1146" s="431" t="s">
        <v>6903</v>
      </c>
      <c r="AE1146" s="431"/>
      <c r="AF1146" s="431" t="s">
        <v>77</v>
      </c>
      <c r="AG1146" s="431" t="s">
        <v>61</v>
      </c>
      <c r="AH1146" s="431" t="s">
        <v>78</v>
      </c>
      <c r="AI1146" s="1023">
        <v>46279</v>
      </c>
      <c r="AJ1146" s="438">
        <f>IFERROR(VLOOKUP(AT1146, Vessel!A:D, 4, FALSE), "")</f>
        <v>46279.979166666664</v>
      </c>
      <c r="AK1146" s="438">
        <f>IFERROR(IF(VLOOKUP(AT1146,Vessel!A:F,5,FALSE)=0,"",VLOOKUP(AT1146,Vessel!A:F,5,FALSE)),"")</f>
        <v>46279.989803240744</v>
      </c>
      <c r="AL1146" s="1023">
        <v>46337</v>
      </c>
      <c r="AM1146" s="620">
        <f>IFERROR(VLOOKUP(AT1146, Vessel!A:H, 8, FALSE), "")</f>
        <v>46337.25</v>
      </c>
      <c r="AN1146" s="588" t="str">
        <f>IFERROR(IF(VLOOKUP(AT1146,Vessel!A:I,9,FALSE)=0,"",VLOOKUP(AT1146,Vessel!A:I,9,FALSE)),"")</f>
        <v/>
      </c>
      <c r="AO1146" s="432"/>
      <c r="AP1146" s="432" t="s">
        <v>6777</v>
      </c>
      <c r="AQ1146" s="619" t="s">
        <v>80</v>
      </c>
      <c r="AR1146" s="432" t="s">
        <v>6904</v>
      </c>
      <c r="AS1146" s="431" t="s">
        <v>6905</v>
      </c>
      <c r="AT1146" s="431" t="s">
        <v>6905</v>
      </c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46" s="431"/>
      <c r="AW1146" s="43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8" t="str">
        <f>IF(ISERROR(PV_DATA[[#This Row],[New Ark PO status]]),"",_xlfn.XLOOKUP(PV_DATA[[#This Row],[SPTN-PVHK New Ark PO'#]],New_Ark_Data[Purchase order Number],New_Ark_Data[Estimated time of arrival],"",0))</f>
        <v/>
      </c>
      <c r="AZ11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8">
        <f>IFERROR(PV_DATA[[#This Row],[ODP ETA Port]]+PV_DATA[[#This Row],[Customs/Leg3 Assumption]],"n/a")</f>
        <v>46345.25</v>
      </c>
      <c r="BB1146" s="434">
        <f>YEAR(PV_DATA[[#This Row],[ETA for New Ark update]])</f>
        <v>2026</v>
      </c>
      <c r="BC1146" s="431">
        <f>MONTH(PV_DATA[[#This Row],[ETA for New Ark update]])</f>
        <v>11</v>
      </c>
      <c r="BD1146" s="431">
        <f>IFERROR(_xlfn.ISOWEEKNUM(PV_DATA[[#This Row],[ETA for New Ark update]]),0)</f>
        <v>47</v>
      </c>
      <c r="BE1146" s="431">
        <f>_xlfn.XLOOKUP(PV_DATA[[#This Row],[New Ark SKU]],Table9[New Ark SKU],Table9[Total PCS per Pallet],,0)</f>
        <v>36</v>
      </c>
      <c r="BF1146" s="431">
        <f>_xlfn.XLOOKUP(PV_DATA[[#This Row],[New Ark SKU]],Table9[New Ark SKU],Table9[Total PCS per 40HQ Container],,0)</f>
        <v>864</v>
      </c>
      <c r="BG1146" s="431" t="str">
        <f>_xlfn.XLOOKUP(PV_DATA[[#This Row],[New Ark SKU]],Table9[New Ark SKU],Table9[Back Glass],,0)</f>
        <v>Black glazing</v>
      </c>
      <c r="BH1146" s="431" t="str">
        <f>_xlfn.XLOOKUP(PV_DATA[[#This Row],[PORT DESTINATION]],Table12[PORT DESTINATION],Table12[Cosco Line],,0)</f>
        <v>AEM</v>
      </c>
    </row>
    <row r="1147" spans="1:91" s="860" customFormat="1" ht="10.5" hidden="1">
      <c r="A1147" s="440" t="s">
        <v>6906</v>
      </c>
      <c r="B1147" s="440" t="s">
        <v>61</v>
      </c>
      <c r="C1147" s="440" t="str">
        <f>IFERROR(LEFT(PV_DATA[[#This Row],[TCL REFERENCE]],FIND(".",PV_DATA[[#This Row],[TCL REFERENCE]],1)-1),"Main Line")</f>
        <v>26Jun022</v>
      </c>
      <c r="D1147" s="440" t="s">
        <v>63</v>
      </c>
      <c r="E1147" s="440" t="s">
        <v>64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440" t="s">
        <v>402</v>
      </c>
      <c r="H1147" s="440" t="s">
        <v>67</v>
      </c>
      <c r="I1147" s="440" t="s">
        <v>689</v>
      </c>
      <c r="J1147" s="432" t="s">
        <v>96</v>
      </c>
      <c r="K1147" s="432"/>
      <c r="L1147" s="432"/>
      <c r="M1147" s="431" t="s">
        <v>6273</v>
      </c>
      <c r="N1147" s="462">
        <v>46202</v>
      </c>
      <c r="O1147" s="432" t="s">
        <v>284</v>
      </c>
      <c r="P1147" s="463" t="s">
        <v>5340</v>
      </c>
      <c r="Q1147" s="432" t="s">
        <v>5341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±1400mm</v>
      </c>
      <c r="T1147" s="443">
        <v>655</v>
      </c>
      <c r="U1147" s="1212">
        <f>720*4</f>
        <v>2880</v>
      </c>
      <c r="V1147" s="449">
        <f>PV_DATA[[#This Row],[QUANTITY]]*PV_DATA[[#This Row],[WATT]]/1000000</f>
        <v>1.8864000000000001</v>
      </c>
      <c r="W1147" s="467">
        <f>PV_DATA[[#This Row],[QUANTITY]]/PV_DATA[[#This Row],[Qty/Pallet]]</f>
        <v>80</v>
      </c>
      <c r="X1147" s="1114">
        <f>PV_DATA[[#This Row],[QUANTITY]]/PV_DATA[[#This Row],[Qty/CT]]</f>
        <v>4</v>
      </c>
      <c r="Y1147" s="432" t="s">
        <v>2467</v>
      </c>
      <c r="Z1147" s="431" t="str">
        <f t="shared" si="27"/>
        <v/>
      </c>
      <c r="AA1147" s="954" t="s">
        <v>6379</v>
      </c>
      <c r="AB1147" s="442"/>
      <c r="AC1147" s="468" t="str">
        <f>IF(PV_DATA[[#This Row],[Pick-Up Date]]&lt;&gt;"",_xlfn.ISOWEEKNUM(PV_DATA[[#This Row],[Pick-Up Date]]),"")</f>
        <v/>
      </c>
      <c r="AD1147" s="432"/>
      <c r="AE1147" s="432"/>
      <c r="AF1147" s="432" t="s">
        <v>61</v>
      </c>
      <c r="AG1147" s="432" t="s">
        <v>61</v>
      </c>
      <c r="AH1147" s="432" t="s">
        <v>105</v>
      </c>
      <c r="AI1147" s="442"/>
      <c r="AJ1147" s="442"/>
      <c r="AK1147" s="438" t="str">
        <f>IFERROR(IF(VLOOKUP(AT1147,Vessel!A:F,5,FALSE)=0,"",VLOOKUP(AT1147,Vessel!A:F,5,FALSE)),"")</f>
        <v/>
      </c>
      <c r="AL1147" s="442"/>
      <c r="AM1147" s="442"/>
      <c r="AN1147" s="588" t="str">
        <f>IFERROR(IF(VLOOKUP(AT1147,Vessel!A:I,9,FALSE)=0,"",VLOOKUP(AT1147,Vessel!A:I,9,FALSE)),"")</f>
        <v/>
      </c>
      <c r="AO1147" s="432"/>
      <c r="AP1147" s="432"/>
      <c r="AQ1147" s="1126" t="s">
        <v>80</v>
      </c>
      <c r="AR1147" s="432"/>
      <c r="AS1147" s="432"/>
      <c r="AT1147" s="432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>IF(ISERROR(PV_DATA[[#This Row],[New Ark PO status]]),"",_xlfn.XLOOKUP(PV_DATA[[#This Row],[SPTN-PVHK New Ark PO'#]],New_Ark_Data[Purchase order Number],New_Ark_Data[Estimated time of arrival],"",0))</f>
        <v/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442">
        <f>IFERROR(PV_DATA[[#This Row],[ODP ETA Port]]+PV_DATA[[#This Row],[Customs/Leg3 Assumption]],"n/a")</f>
        <v>46353</v>
      </c>
      <c r="BB1147" s="443">
        <f>YEAR(PV_DATA[[#This Row],[ETA for New Ark update]])</f>
        <v>2026</v>
      </c>
      <c r="BC1147" s="432">
        <f>MONTH(PV_DATA[[#This Row],[ETA for New Ark update]])</f>
        <v>11</v>
      </c>
      <c r="BD1147" s="432">
        <f>IFERROR(_xlfn.ISOWEEKNUM(PV_DATA[[#This Row],[ETA for New Ark update]]),0)</f>
        <v>48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720</v>
      </c>
      <c r="BG1147" s="432" t="str">
        <f>_xlfn.XLOOKUP(PV_DATA[[#This Row],[New Ark SKU]],Table9[New Ark SKU],Table9[Back Glass],,0)</f>
        <v>White glazing</v>
      </c>
      <c r="BH1147" s="432" t="str">
        <f>_xlfn.XLOOKUP(PV_DATA[[#This Row],[PORT DESTINATION]],Table12[PORT DESTINATION],Table12[Cosco Line],,0)</f>
        <v>AEU</v>
      </c>
    </row>
    <row r="1148" spans="1:91" s="860" customFormat="1" ht="10.5" hidden="1">
      <c r="A1148" s="440" t="s">
        <v>6907</v>
      </c>
      <c r="B1148" s="440" t="s">
        <v>5769</v>
      </c>
      <c r="C1148" s="440" t="str">
        <f>IFERROR(LEFT(PV_DATA[[#This Row],[TCL REFERENCE]],FIND(".",PV_DATA[[#This Row],[TCL REFERENCE]],1)-1),"Main Line")</f>
        <v>26Jul006</v>
      </c>
      <c r="D1148" s="440" t="s">
        <v>63</v>
      </c>
      <c r="E1148" s="440" t="s">
        <v>64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8" s="440" t="s">
        <v>402</v>
      </c>
      <c r="H1148" s="440" t="s">
        <v>67</v>
      </c>
      <c r="I1148" s="440" t="s">
        <v>689</v>
      </c>
      <c r="J1148" s="432" t="s">
        <v>96</v>
      </c>
      <c r="K1148" s="432"/>
      <c r="L1148" s="432"/>
      <c r="M1148" s="431" t="s">
        <v>6273</v>
      </c>
      <c r="N1148" s="462">
        <v>46223</v>
      </c>
      <c r="O1148" s="432" t="s">
        <v>4526</v>
      </c>
      <c r="P1148" s="431" t="s">
        <v>965</v>
      </c>
      <c r="Q1148" s="432" t="s">
        <v>966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455</v>
      </c>
      <c r="U1148" s="1212">
        <f>936*4</f>
        <v>3744</v>
      </c>
      <c r="V1148" s="449">
        <f>PV_DATA[[#This Row],[QUANTITY]]*PV_DATA[[#This Row],[WATT]]/1000000</f>
        <v>1.7035199999999999</v>
      </c>
      <c r="W1148" s="467">
        <f>PV_DATA[[#This Row],[QUANTITY]]/PV_DATA[[#This Row],[Qty/Pallet]]</f>
        <v>104</v>
      </c>
      <c r="X1148" s="1110">
        <f>PV_DATA[[#This Row],[QUANTITY]]/PV_DATA[[#This Row],[Qty/CT]]</f>
        <v>4</v>
      </c>
      <c r="Y1148" s="431" t="s">
        <v>6676</v>
      </c>
      <c r="Z1148" s="431" t="str">
        <f t="shared" si="27"/>
        <v/>
      </c>
      <c r="AA1148" s="432" t="s">
        <v>6115</v>
      </c>
      <c r="AB1148" s="442">
        <v>46281</v>
      </c>
      <c r="AC1148" s="468">
        <f>IF(PV_DATA[[#This Row],[Pick-Up Date]]&lt;&gt;"",_xlfn.ISOWEEKNUM(PV_DATA[[#This Row],[Pick-Up Date]]),"")</f>
        <v>38</v>
      </c>
      <c r="AD1148" s="432"/>
      <c r="AE1148" s="432"/>
      <c r="AF1148" s="448" t="s">
        <v>1525</v>
      </c>
      <c r="AG1148" s="448" t="s">
        <v>5992</v>
      </c>
      <c r="AH1148" s="432" t="s">
        <v>105</v>
      </c>
      <c r="AI1148" s="438">
        <v>46287</v>
      </c>
      <c r="AJ1148" s="442"/>
      <c r="AK1148" s="438" t="str">
        <f>IFERROR(IF(VLOOKUP(AT1148,Vessel!A:F,5,FALSE)=0,"",VLOOKUP(AT1148,Vessel!A:F,5,FALSE)),"")</f>
        <v/>
      </c>
      <c r="AL1148" s="438">
        <v>46319</v>
      </c>
      <c r="AM1148" s="442"/>
      <c r="AN1148" s="588" t="str">
        <f>IFERROR(IF(VLOOKUP(AT1148,Vessel!A:I,9,FALSE)=0,"",VLOOKUP(AT1148,Vessel!A:I,9,FALSE)),"")</f>
        <v/>
      </c>
      <c r="AO1148" s="432"/>
      <c r="AP1148" s="432" t="s">
        <v>6699</v>
      </c>
      <c r="AQ1148" s="432" t="s">
        <v>80</v>
      </c>
      <c r="AR1148" s="432" t="s">
        <v>6908</v>
      </c>
      <c r="AS1148" s="432" t="s">
        <v>6909</v>
      </c>
      <c r="AT1148" s="432" t="s">
        <v>6909</v>
      </c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>
        <f>IF(ISERROR(PV_DATA[[#This Row],[New Ark PO status]]),"",_xlfn.XLOOKUP(PV_DATA[[#This Row],[SPTN-PVHK New Ark PO'#]],New_Ark_Data[Purchase order Number],New_Ark_Data[Estimated time of arrival],"",0))</f>
        <v>0</v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8" s="442">
        <f>IFERROR(PV_DATA[[#This Row],[ODP ETA Port]]+PV_DATA[[#This Row],[Customs/Leg3 Assumption]],"n/a")</f>
        <v>46326</v>
      </c>
      <c r="BB1148" s="443">
        <f>YEAR(PV_DATA[[#This Row],[ETA for New Ark update]])</f>
        <v>2026</v>
      </c>
      <c r="BC1148" s="432">
        <f>MONTH(PV_DATA[[#This Row],[ETA for New Ark update]])</f>
        <v>10</v>
      </c>
      <c r="BD1148" s="432">
        <f>IFERROR(_xlfn.ISOWEEKNUM(PV_DATA[[#This Row],[ETA for New Ark update]]),0)</f>
        <v>44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936</v>
      </c>
      <c r="BG1148" s="432" t="str">
        <f>_xlfn.XLOOKUP(PV_DATA[[#This Row],[New Ark SKU]],Table9[New Ark SKU],Table9[Back Glass],,0)</f>
        <v>Black glazing</v>
      </c>
      <c r="BH1148" s="432" t="str">
        <f>_xlfn.XLOOKUP(PV_DATA[[#This Row],[PORT DESTINATION]],Table12[PORT DESTINATION],Table12[Cosco Line],,0)</f>
        <v>AEU</v>
      </c>
    </row>
    <row r="1149" spans="1:91" s="860" customFormat="1" ht="10.5" hidden="1">
      <c r="A1149" s="730" t="s">
        <v>6910</v>
      </c>
      <c r="B1149" s="463" t="s">
        <v>111</v>
      </c>
      <c r="C1149" s="463" t="str">
        <f>IFERROR(LEFT(PV_DATA[[#This Row],[TCL REFERENCE]],FIND(".",PV_DATA[[#This Row],[TCL REFERENCE]],1)-1),"Main Line")</f>
        <v>26Aug020</v>
      </c>
      <c r="D1149" s="463" t="s">
        <v>63</v>
      </c>
      <c r="E1149" s="440" t="s">
        <v>64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9" s="440" t="s">
        <v>402</v>
      </c>
      <c r="H1149" s="463" t="s">
        <v>67</v>
      </c>
      <c r="I1149" s="440" t="s">
        <v>689</v>
      </c>
      <c r="J1149" s="431" t="s">
        <v>96</v>
      </c>
      <c r="K1149" s="431"/>
      <c r="L1149" s="431"/>
      <c r="M1149" s="431" t="s">
        <v>6531</v>
      </c>
      <c r="N1149" s="462">
        <v>46238</v>
      </c>
      <c r="O1149" s="431" t="s">
        <v>132</v>
      </c>
      <c r="P1149" s="431" t="s">
        <v>1062</v>
      </c>
      <c r="Q1149" s="431" t="s">
        <v>1063</v>
      </c>
      <c r="R1149" s="432" t="str">
        <f>_xlfn.XLOOKUP(PV_DATA[[#This Row],[New Ark SKU]],Table9[New Ark SKU],Table9[Connector],,0)</f>
        <v>EVO2A</v>
      </c>
      <c r="S1149" s="443" t="str">
        <f>_xlfn.XLOOKUP(PV_DATA[[#This Row],[New Ark SKU]],Table9[New Ark SKU],Table9[Cable],,0)</f>
        <v>±1200mm</v>
      </c>
      <c r="T1149" s="434">
        <v>470</v>
      </c>
      <c r="U1149" s="1207">
        <v>2592</v>
      </c>
      <c r="V1149" s="435">
        <f>PV_DATA[[#This Row],[QUANTITY]]*PV_DATA[[#This Row],[WATT]]/1000000</f>
        <v>1.21824</v>
      </c>
      <c r="W1149" s="436">
        <f>PV_DATA[[#This Row],[QUANTITY]]/PV_DATA[[#This Row],[Qty/Pallet]]</f>
        <v>72</v>
      </c>
      <c r="X1149" s="1110">
        <f>PV_DATA[[#This Row],[QUANTITY]]/PV_DATA[[#This Row],[Qty/CT]]</f>
        <v>3</v>
      </c>
      <c r="Y1149" s="432" t="s">
        <v>2469</v>
      </c>
      <c r="Z1149" s="431"/>
      <c r="AA1149" s="431" t="s">
        <v>5848</v>
      </c>
      <c r="AB1149" s="438"/>
      <c r="AC1149" s="619"/>
      <c r="AD1149" s="440"/>
      <c r="AE1149" s="431"/>
      <c r="AF1149" s="448" t="s">
        <v>1525</v>
      </c>
      <c r="AG1149" s="448" t="s">
        <v>5992</v>
      </c>
      <c r="AH1149" s="432" t="s">
        <v>105</v>
      </c>
      <c r="AI1149" s="438">
        <v>46284</v>
      </c>
      <c r="AJ1149" s="438">
        <f>IFERROR(VLOOKUP(AT1149, Vessel!A:D, 4, FALSE), "")</f>
        <v>46286.75</v>
      </c>
      <c r="AK1149" s="438" t="str">
        <f>IFERROR(IF(VLOOKUP(AT1149,Vessel!A:F,5,FALSE)=0,"",VLOOKUP(AT1149,Vessel!A:F,5,FALSE)),"")</f>
        <v/>
      </c>
      <c r="AL1149" s="438">
        <v>46318</v>
      </c>
      <c r="AM1149" s="438"/>
      <c r="AN1149" s="438"/>
      <c r="AO1149" s="431"/>
      <c r="AP1149" s="431" t="s">
        <v>6911</v>
      </c>
      <c r="AQ1149" s="432" t="s">
        <v>80</v>
      </c>
      <c r="AR1149" s="431" t="s">
        <v>6912</v>
      </c>
      <c r="AS1149" s="431" t="s">
        <v>6913</v>
      </c>
      <c r="AT1149" s="431" t="s">
        <v>6913</v>
      </c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31.25</v>
      </c>
      <c r="AV1149" s="431"/>
      <c r="AW1149" s="438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8">
        <f>IF(ISERROR(PV_DATA[[#This Row],[New Ark PO status]]),"",_xlfn.XLOOKUP(PV_DATA[[#This Row],[SPTN-PVHK New Ark PO'#]],New_Ark_Data[Purchase order Number],New_Ark_Data[Estimated time of arrival],"",0))</f>
        <v>0</v>
      </c>
      <c r="AZ11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438">
        <f>IFERROR(PV_DATA[[#This Row],[ODP ETA Port]]+PV_DATA[[#This Row],[Customs/Leg3 Assumption]],"n/a")</f>
        <v>46325</v>
      </c>
      <c r="BB1149" s="434">
        <f>YEAR(PV_DATA[[#This Row],[ETA for New Ark update]])</f>
        <v>2026</v>
      </c>
      <c r="BC1149" s="431">
        <f>MONTH(PV_DATA[[#This Row],[ETA for New Ark update]])</f>
        <v>10</v>
      </c>
      <c r="BD1149" s="431">
        <f>IFERROR(_xlfn.ISOWEEKNUM(PV_DATA[[#This Row],[ETA for New Ark update]]),0)</f>
        <v>44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864</v>
      </c>
      <c r="BG1149" s="432" t="str">
        <f>_xlfn.XLOOKUP(PV_DATA[[#This Row],[New Ark SKU]],Table9[New Ark SKU],Table9[Back Glass],,0)</f>
        <v>White glazing</v>
      </c>
      <c r="BH1149" s="432" t="str">
        <f>_xlfn.XLOOKUP(PV_DATA[[#This Row],[PORT DESTINATION]],Table12[PORT DESTINATION],Table12[Cosco Line],,0)</f>
        <v>AEU</v>
      </c>
      <c r="BI1149" s="431"/>
      <c r="BJ1149" s="431"/>
      <c r="BK1149" s="431"/>
      <c r="BL1149" s="431"/>
      <c r="BM1149" s="431"/>
      <c r="BN1149" s="431"/>
      <c r="BO1149" s="431"/>
      <c r="BP1149" s="431"/>
      <c r="BQ1149" s="431"/>
      <c r="BR1149" s="431"/>
      <c r="BS1149" s="431"/>
      <c r="BT1149" s="431"/>
      <c r="BU1149" s="431"/>
      <c r="BV1149" s="431"/>
      <c r="BW1149" s="431"/>
      <c r="BX1149" s="431"/>
      <c r="BY1149" s="431"/>
      <c r="BZ1149" s="431"/>
      <c r="CA1149" s="431"/>
      <c r="CB1149" s="431"/>
      <c r="CC1149" s="431"/>
      <c r="CD1149" s="431"/>
      <c r="CE1149" s="431"/>
      <c r="CF1149" s="431"/>
      <c r="CG1149" s="431"/>
      <c r="CH1149" s="431"/>
      <c r="CI1149" s="431"/>
      <c r="CJ1149" s="431"/>
      <c r="CK1149" s="431"/>
      <c r="CL1149" s="431"/>
      <c r="CM1149" s="431"/>
    </row>
    <row r="1150" spans="1:91" s="860" customFormat="1" ht="10.5" hidden="1">
      <c r="A1150" s="730" t="s">
        <v>6914</v>
      </c>
      <c r="B1150" s="463" t="s">
        <v>111</v>
      </c>
      <c r="C1150" s="463" t="str">
        <f>IFERROR(LEFT(PV_DATA[[#This Row],[TCL REFERENCE]],FIND(".",PV_DATA[[#This Row],[TCL REFERENCE]],1)-1),"Main Line")</f>
        <v>26Aug020</v>
      </c>
      <c r="D1150" s="463" t="s">
        <v>63</v>
      </c>
      <c r="E1150" s="440" t="s">
        <v>64</v>
      </c>
      <c r="F1150" s="440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40" t="s">
        <v>402</v>
      </c>
      <c r="H1150" s="463" t="s">
        <v>67</v>
      </c>
      <c r="I1150" s="440" t="s">
        <v>689</v>
      </c>
      <c r="J1150" s="431" t="s">
        <v>96</v>
      </c>
      <c r="K1150" s="431"/>
      <c r="L1150" s="431"/>
      <c r="M1150" s="431" t="s">
        <v>6531</v>
      </c>
      <c r="N1150" s="462">
        <v>46238</v>
      </c>
      <c r="O1150" s="431" t="s">
        <v>132</v>
      </c>
      <c r="P1150" s="431" t="s">
        <v>1062</v>
      </c>
      <c r="Q1150" s="431" t="s">
        <v>1063</v>
      </c>
      <c r="R1150" s="432" t="str">
        <f>_xlfn.XLOOKUP(PV_DATA[[#This Row],[New Ark SKU]],Table9[New Ark SKU],Table9[Connector],,0)</f>
        <v>EVO2A</v>
      </c>
      <c r="S1150" s="443" t="str">
        <f>_xlfn.XLOOKUP(PV_DATA[[#This Row],[New Ark SKU]],Table9[New Ark SKU],Table9[Cable],,0)</f>
        <v>±1200mm</v>
      </c>
      <c r="T1150" s="434">
        <v>470</v>
      </c>
      <c r="U1150" s="1207">
        <v>864</v>
      </c>
      <c r="V1150" s="435">
        <f>PV_DATA[[#This Row],[QUANTITY]]*PV_DATA[[#This Row],[WATT]]/1000000</f>
        <v>0.40608</v>
      </c>
      <c r="W1150" s="436">
        <f>PV_DATA[[#This Row],[QUANTITY]]/PV_DATA[[#This Row],[Qty/Pallet]]</f>
        <v>24</v>
      </c>
      <c r="X1150" s="1110">
        <f>PV_DATA[[#This Row],[QUANTITY]]/PV_DATA[[#This Row],[Qty/CT]]</f>
        <v>1</v>
      </c>
      <c r="Y1150" s="432" t="s">
        <v>2469</v>
      </c>
      <c r="Z1150" s="431"/>
      <c r="AA1150" s="431" t="s">
        <v>5848</v>
      </c>
      <c r="AB1150" s="438">
        <v>46281</v>
      </c>
      <c r="AC1150" s="619"/>
      <c r="AD1150" s="440"/>
      <c r="AE1150" s="431"/>
      <c r="AF1150" s="448" t="s">
        <v>1525</v>
      </c>
      <c r="AG1150" s="448" t="s">
        <v>5992</v>
      </c>
      <c r="AH1150" s="432" t="s">
        <v>105</v>
      </c>
      <c r="AI1150" s="438">
        <v>46287</v>
      </c>
      <c r="AJ1150" s="438">
        <f>IFERROR(VLOOKUP(AT1150, Vessel!A:D, 4, FALSE), "")</f>
        <v>46287.5</v>
      </c>
      <c r="AK1150" s="438" t="str">
        <f>IFERROR(IF(VLOOKUP(AT1150,Vessel!A:F,5,FALSE)=0,"",VLOOKUP(AT1150,Vessel!A:F,5,FALSE)),"")</f>
        <v/>
      </c>
      <c r="AL1150" s="438">
        <v>46319</v>
      </c>
      <c r="AM1150" s="438"/>
      <c r="AN1150" s="438"/>
      <c r="AO1150" s="431"/>
      <c r="AP1150" s="431" t="s">
        <v>6699</v>
      </c>
      <c r="AQ1150" s="432" t="s">
        <v>80</v>
      </c>
      <c r="AR1150" s="432" t="s">
        <v>6915</v>
      </c>
      <c r="AS1150" s="431" t="s">
        <v>6916</v>
      </c>
      <c r="AT1150" s="431" t="s">
        <v>6916</v>
      </c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31.5</v>
      </c>
      <c r="AV1150" s="431"/>
      <c r="AW1150" s="438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8">
        <f>IF(ISERROR(PV_DATA[[#This Row],[New Ark PO status]]),"",_xlfn.XLOOKUP(PV_DATA[[#This Row],[SPTN-PVHK New Ark PO'#]],New_Ark_Data[Purchase order Number],New_Ark_Data[Estimated time of arrival],"",0))</f>
        <v>0</v>
      </c>
      <c r="AZ115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38">
        <f>IFERROR(PV_DATA[[#This Row],[ODP ETA Port]]+PV_DATA[[#This Row],[Customs/Leg3 Assumption]],"n/a")</f>
        <v>46326</v>
      </c>
      <c r="BB1150" s="434">
        <f>YEAR(PV_DATA[[#This Row],[ETA for New Ark update]])</f>
        <v>2026</v>
      </c>
      <c r="BC1150" s="431">
        <f>MONTH(PV_DATA[[#This Row],[ETA for New Ark update]])</f>
        <v>10</v>
      </c>
      <c r="BD1150" s="431">
        <f>IFERROR(_xlfn.ISOWEEKNUM(PV_DATA[[#This Row],[ETA for New Ark update]]),0)</f>
        <v>44</v>
      </c>
      <c r="BE1150" s="432">
        <f>_xlfn.XLOOKUP(PV_DATA[[#This Row],[New Ark SKU]],Table9[New Ark SKU],Table9[Total PCS per Pallet],,0)</f>
        <v>36</v>
      </c>
      <c r="BF1150" s="432">
        <f>_xlfn.XLOOKUP(PV_DATA[[#This Row],[New Ark SKU]],Table9[New Ark SKU],Table9[Total PCS per 40HQ Container],,0)</f>
        <v>864</v>
      </c>
      <c r="BG1150" s="432" t="str">
        <f>_xlfn.XLOOKUP(PV_DATA[[#This Row],[New Ark SKU]],Table9[New Ark SKU],Table9[Back Glass],,0)</f>
        <v>White glazing</v>
      </c>
      <c r="BH1150" s="432" t="str">
        <f>_xlfn.XLOOKUP(PV_DATA[[#This Row],[PORT DESTINATION]],Table12[PORT DESTINATION],Table12[Cosco Line],,0)</f>
        <v>AEU</v>
      </c>
      <c r="BI1150" s="431"/>
      <c r="BJ1150" s="431"/>
      <c r="BK1150" s="431"/>
      <c r="BL1150" s="431"/>
      <c r="BM1150" s="431"/>
      <c r="BN1150" s="431"/>
      <c r="BO1150" s="431"/>
      <c r="BP1150" s="431"/>
      <c r="BQ1150" s="431"/>
      <c r="BR1150" s="431"/>
      <c r="BS1150" s="431"/>
      <c r="BT1150" s="431"/>
      <c r="BU1150" s="431"/>
      <c r="BV1150" s="431"/>
      <c r="BW1150" s="431"/>
      <c r="BX1150" s="431"/>
      <c r="BY1150" s="431"/>
      <c r="BZ1150" s="431"/>
      <c r="CA1150" s="431"/>
      <c r="CB1150" s="431"/>
      <c r="CC1150" s="431"/>
      <c r="CD1150" s="431"/>
      <c r="CE1150" s="431"/>
      <c r="CF1150" s="431"/>
      <c r="CG1150" s="431"/>
      <c r="CH1150" s="431"/>
      <c r="CI1150" s="431"/>
      <c r="CJ1150" s="431"/>
      <c r="CK1150" s="431"/>
      <c r="CL1150" s="431"/>
      <c r="CM1150" s="431"/>
    </row>
    <row r="1151" spans="1:91" ht="10.5" hidden="1">
      <c r="A1151" s="998" t="s">
        <v>6917</v>
      </c>
      <c r="B1151" s="859" t="s">
        <v>1757</v>
      </c>
      <c r="C1151" s="859" t="str">
        <f>IFERROR(LEFT(PV_DATA[[#This Row],[TCL REFERENCE]],FIND(".",PV_DATA[[#This Row],[TCL REFERENCE]],1)-1),"Main Line")</f>
        <v>26Jul007</v>
      </c>
      <c r="D1151" s="859" t="s">
        <v>63</v>
      </c>
      <c r="E1151" s="859" t="s">
        <v>144</v>
      </c>
      <c r="F1151" s="463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63" t="s">
        <v>402</v>
      </c>
      <c r="H1151" s="463" t="s">
        <v>1029</v>
      </c>
      <c r="I1151" s="463" t="s">
        <v>869</v>
      </c>
      <c r="J1151" s="463" t="s">
        <v>1029</v>
      </c>
      <c r="K1151" s="463" t="s">
        <v>5838</v>
      </c>
      <c r="L1151" s="431">
        <v>2</v>
      </c>
      <c r="M1151" s="431" t="s">
        <v>6719</v>
      </c>
      <c r="N1151" s="999">
        <v>46209</v>
      </c>
      <c r="O1151" s="860" t="s">
        <v>4526</v>
      </c>
      <c r="P1151" s="860" t="s">
        <v>71</v>
      </c>
      <c r="Q1151" s="860" t="s">
        <v>72</v>
      </c>
      <c r="R1151" s="860" t="str">
        <f>_xlfn.XLOOKUP(PV_DATA[[#This Row],[New Ark SKU]],Table9[New Ark SKU],Table9[Connector],,0)</f>
        <v>EVO2A</v>
      </c>
      <c r="S1151" s="861" t="str">
        <f>_xlfn.XLOOKUP(PV_DATA[[#This Row],[New Ark SKU]],Table9[New Ark SKU],Table9[Cable],,0)</f>
        <v>±1200mm</v>
      </c>
      <c r="T1151" s="861">
        <v>500</v>
      </c>
      <c r="U1151" s="1225">
        <f>864*2</f>
        <v>1728</v>
      </c>
      <c r="V1151" s="862">
        <f>PV_DATA[[#This Row],[QUANTITY]]*PV_DATA[[#This Row],[WATT]]/1000000</f>
        <v>0.86399999999999999</v>
      </c>
      <c r="W1151" s="863">
        <f>PV_DATA[[#This Row],[QUANTITY]]/PV_DATA[[#This Row],[Qty/Pallet]]</f>
        <v>48</v>
      </c>
      <c r="X1151" s="1127">
        <f>PV_DATA[[#This Row],[QUANTITY]]/PV_DATA[[#This Row],[Qty/CT]]</f>
        <v>2</v>
      </c>
      <c r="Y1151" s="432" t="s">
        <v>2467</v>
      </c>
      <c r="Z1151" s="860" t="str">
        <f t="shared" si="27"/>
        <v/>
      </c>
      <c r="AA1151" s="1128" t="s">
        <v>6918</v>
      </c>
      <c r="AB1151" s="864">
        <v>46274</v>
      </c>
      <c r="AC1151" s="865">
        <f>IF(PV_DATA[[#This Row],[Pick-Up Date]]&lt;&gt;"",_xlfn.ISOWEEKNUM(PV_DATA[[#This Row],[Pick-Up Date]]),"")</f>
        <v>37</v>
      </c>
      <c r="AD1151" s="860" t="s">
        <v>6919</v>
      </c>
      <c r="AE1151" s="860"/>
      <c r="AF1151" s="998" t="s">
        <v>1525</v>
      </c>
      <c r="AG1151" s="998" t="s">
        <v>1525</v>
      </c>
      <c r="AH1151" s="860" t="s">
        <v>888</v>
      </c>
      <c r="AI1151" s="864">
        <v>46274</v>
      </c>
      <c r="AJ1151" s="864"/>
      <c r="AK1151" s="864"/>
      <c r="AL1151" s="864">
        <v>46323</v>
      </c>
      <c r="AM1151" s="866">
        <f>IFERROR(VLOOKUP(AT1151, Vessel!A:H, 8, FALSE), "")</f>
        <v>46323.25</v>
      </c>
      <c r="AN1151" s="866" t="str">
        <f>IFERROR(IF(VLOOKUP(AT1151,Vessel!A:I,9,FALSE)=0,"",VLOOKUP(AT1151,Vessel!A:I,9,FALSE)),"")</f>
        <v/>
      </c>
      <c r="AO1151" s="860"/>
      <c r="AP1151" s="860" t="s">
        <v>6602</v>
      </c>
      <c r="AQ1151" s="432" t="s">
        <v>80</v>
      </c>
      <c r="AR1151" s="1228" t="s">
        <v>6920</v>
      </c>
      <c r="AS1151" s="860" t="s">
        <v>6921</v>
      </c>
      <c r="AT1151" s="860" t="s">
        <v>6921</v>
      </c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51" s="860"/>
      <c r="AW1151" s="864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864" t="str">
        <f>IF(ISERROR(PV_DATA[[#This Row],[New Ark PO status]]),"",_xlfn.XLOOKUP(PV_DATA[[#This Row],[SPTN-PVHK New Ark PO'#]],New_Ark_Data[Purchase order Number],New_Ark_Data[Estimated time of arrival],"",0))</f>
        <v/>
      </c>
      <c r="AZ1151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864">
        <f>IFERROR(PV_DATA[[#This Row],[ODP ETA Port]]+PV_DATA[[#This Row],[Customs/Leg3 Assumption]],"n/a")</f>
        <v>46323.25</v>
      </c>
      <c r="BB1151" s="861">
        <f>YEAR(PV_DATA[[#This Row],[ETA for New Ark update]])</f>
        <v>2026</v>
      </c>
      <c r="BC1151" s="860">
        <f>MONTH(PV_DATA[[#This Row],[ETA for New Ark update]])</f>
        <v>10</v>
      </c>
      <c r="BD1151" s="860">
        <f>IFERROR(_xlfn.ISOWEEKNUM(PV_DATA[[#This Row],[ETA for New Ark update]]),0)</f>
        <v>44</v>
      </c>
      <c r="BE1151" s="860">
        <f>_xlfn.XLOOKUP(PV_DATA[[#This Row],[New Ark SKU]],Table9[New Ark SKU],Table9[Total PCS per Pallet],,0)</f>
        <v>36</v>
      </c>
      <c r="BF1151" s="860">
        <f>_xlfn.XLOOKUP(PV_DATA[[#This Row],[New Ark SKU]],Table9[New Ark SKU],Table9[Total PCS per 40HQ Container],,0)</f>
        <v>864</v>
      </c>
      <c r="BG1151" s="860" t="str">
        <f>_xlfn.XLOOKUP(PV_DATA[[#This Row],[New Ark SKU]],Table9[New Ark SKU],Table9[Back Glass],,0)</f>
        <v>Black glazing</v>
      </c>
      <c r="BH1151" s="860" t="str">
        <f>_xlfn.XLOOKUP(PV_DATA[[#This Row],[PORT DESTINATION]],Table12[PORT DESTINATION],Table12[Cosco Line],,0)</f>
        <v>AEU</v>
      </c>
      <c r="BJ1151" s="431"/>
    </row>
    <row r="1152" spans="1:91" ht="10.5" hidden="1">
      <c r="A1152" s="448" t="s">
        <v>6922</v>
      </c>
      <c r="B1152" s="440" t="s">
        <v>1757</v>
      </c>
      <c r="C1152" s="440" t="str">
        <f>IFERROR(LEFT(PV_DATA[[#This Row],[TCL REFERENCE]],FIND(".",PV_DATA[[#This Row],[TCL REFERENCE]],1)-1),"Main Line")</f>
        <v>26Jul007</v>
      </c>
      <c r="D1152" s="440" t="s">
        <v>63</v>
      </c>
      <c r="E1152" s="440" t="s">
        <v>64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2" s="440" t="s">
        <v>402</v>
      </c>
      <c r="H1152" s="440" t="s">
        <v>67</v>
      </c>
      <c r="I1152" s="440" t="s">
        <v>689</v>
      </c>
      <c r="J1152" s="432" t="s">
        <v>96</v>
      </c>
      <c r="K1152" s="447"/>
      <c r="L1152" s="432"/>
      <c r="M1152" s="431" t="s">
        <v>6273</v>
      </c>
      <c r="N1152" s="462">
        <v>46209</v>
      </c>
      <c r="O1152" s="432" t="s">
        <v>4526</v>
      </c>
      <c r="P1152" s="431" t="s">
        <v>71</v>
      </c>
      <c r="Q1152" s="432" t="s">
        <v>72</v>
      </c>
      <c r="R1152" s="432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43">
        <v>500</v>
      </c>
      <c r="U1152" s="1212">
        <v>864</v>
      </c>
      <c r="V1152" s="449">
        <f>PV_DATA[[#This Row],[QUANTITY]]*PV_DATA[[#This Row],[WATT]]/1000000</f>
        <v>0.432</v>
      </c>
      <c r="W1152" s="467">
        <f>PV_DATA[[#This Row],[QUANTITY]]/PV_DATA[[#This Row],[Qty/Pallet]]</f>
        <v>24</v>
      </c>
      <c r="X1152" s="1114">
        <f>PV_DATA[[#This Row],[QUANTITY]]/PV_DATA[[#This Row],[Qty/CT]]</f>
        <v>1</v>
      </c>
      <c r="Y1152" s="953" t="s">
        <v>2467</v>
      </c>
      <c r="Z1152" s="431" t="str">
        <f t="shared" si="27"/>
        <v>IN-TRANSIT</v>
      </c>
      <c r="AA1152" s="858" t="s">
        <v>5848</v>
      </c>
      <c r="AB1152" s="442">
        <v>46274</v>
      </c>
      <c r="AC1152" s="468">
        <f>IF(PV_DATA[[#This Row],[Pick-Up Date]]&lt;&gt;"",_xlfn.ISOWEEKNUM(PV_DATA[[#This Row],[Pick-Up Date]]),"")</f>
        <v>37</v>
      </c>
      <c r="AD1152" s="432" t="s">
        <v>6923</v>
      </c>
      <c r="AE1152" s="432"/>
      <c r="AF1152" s="448" t="s">
        <v>1525</v>
      </c>
      <c r="AG1152" s="448" t="s">
        <v>1525</v>
      </c>
      <c r="AH1152" s="432" t="s">
        <v>78</v>
      </c>
      <c r="AI1152" s="442">
        <v>46277</v>
      </c>
      <c r="AJ1152" s="442"/>
      <c r="AK1152" s="438">
        <f>IFERROR(IF(VLOOKUP(AT1152,Vessel!A:F,5,FALSE)=0,"",VLOOKUP(AT1152,Vessel!A:F,5,FALSE)),"")</f>
        <v>46279.80667824074</v>
      </c>
      <c r="AL1152" s="442">
        <v>46321</v>
      </c>
      <c r="AM1152" s="620">
        <f>IFERROR(VLOOKUP(AT1152, Vessel!A:H, 8, FALSE), "")</f>
        <v>46327.854166666664</v>
      </c>
      <c r="AN1152" s="588" t="str">
        <f>IFERROR(IF(VLOOKUP(AT1152,Vessel!A:I,9,FALSE)=0,"",VLOOKUP(AT1152,Vessel!A:I,9,FALSE)),"")</f>
        <v/>
      </c>
      <c r="AO1152" s="432"/>
      <c r="AP1152" s="432" t="s">
        <v>6493</v>
      </c>
      <c r="AQ1152" s="432" t="s">
        <v>80</v>
      </c>
      <c r="AR1152" s="1228" t="s">
        <v>6924</v>
      </c>
      <c r="AS1152" s="432" t="s">
        <v>6925</v>
      </c>
      <c r="AT1152" s="432" t="s">
        <v>6925</v>
      </c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48.047488425923802</v>
      </c>
      <c r="AV1152" s="432"/>
      <c r="AW1152" s="442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11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 t="str">
        <f>IF(ISERROR(PV_DATA[[#This Row],[New Ark PO status]]),"",_xlfn.XLOOKUP(PV_DATA[[#This Row],[SPTN-PVHK New Ark PO'#]],New_Ark_Data[Purchase order Number],New_Ark_Data[Estimated time of arrival],"",0))</f>
        <v/>
      </c>
      <c r="AZ11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2" s="442">
        <f>IFERROR(PV_DATA[[#This Row],[ODP ETA Port]]+PV_DATA[[#This Row],[Customs/Leg3 Assumption]],"n/a")</f>
        <v>46335.854166666664</v>
      </c>
      <c r="BB1152" s="443">
        <f>YEAR(PV_DATA[[#This Row],[ETA for New Ark update]])</f>
        <v>2026</v>
      </c>
      <c r="BC1152" s="432">
        <f>MONTH(PV_DATA[[#This Row],[ETA for New Ark update]])</f>
        <v>11</v>
      </c>
      <c r="BD1152" s="432">
        <f>IFERROR(_xlfn.ISOWEEKNUM(PV_DATA[[#This Row],[ETA for New Ark update]]),0)</f>
        <v>46</v>
      </c>
      <c r="BE1152" s="432">
        <f>_xlfn.XLOOKUP(PV_DATA[[#This Row],[New Ark SKU]],Table9[New Ark SKU],Table9[Total PCS per Pallet],,0)</f>
        <v>36</v>
      </c>
      <c r="BF1152" s="432">
        <f>_xlfn.XLOOKUP(PV_DATA[[#This Row],[New Ark SKU]],Table9[New Ark SKU],Table9[Total PCS per 40HQ Container],,0)</f>
        <v>864</v>
      </c>
      <c r="BG1152" s="432" t="str">
        <f>_xlfn.XLOOKUP(PV_DATA[[#This Row],[New Ark SKU]],Table9[New Ark SKU],Table9[Back Glass],,0)</f>
        <v>Black glazing</v>
      </c>
      <c r="BH1152" s="624" t="str">
        <f>_xlfn.XLOOKUP(PV_DATA[[#This Row],[PORT DESTINATION]],Table12[PORT DESTINATION],Table12[Cosco Line],,0)</f>
        <v>AEM</v>
      </c>
      <c r="BJ1152" s="431"/>
    </row>
    <row r="1153" spans="1:62" ht="10.5" hidden="1">
      <c r="A1153" s="440" t="s">
        <v>6926</v>
      </c>
      <c r="B1153" s="440" t="s">
        <v>1757</v>
      </c>
      <c r="C1153" s="440" t="str">
        <f>IFERROR(LEFT(PV_DATA[[#This Row],[TCL REFERENCE]],FIND(".",PV_DATA[[#This Row],[TCL REFERENCE]],1)-1),"Main Line")</f>
        <v>Main Line</v>
      </c>
      <c r="D1153" s="440" t="s">
        <v>63</v>
      </c>
      <c r="E1153" s="440" t="s">
        <v>68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68</v>
      </c>
      <c r="H1153" s="440" t="s">
        <v>68</v>
      </c>
      <c r="I1153" s="440" t="s">
        <v>68</v>
      </c>
      <c r="J1153" s="432" t="s">
        <v>68</v>
      </c>
      <c r="K1153" s="432"/>
      <c r="L1153" s="432"/>
      <c r="M1153" s="431" t="s">
        <v>6273</v>
      </c>
      <c r="N1153" s="462">
        <v>46209</v>
      </c>
      <c r="O1153" s="432" t="s">
        <v>4526</v>
      </c>
      <c r="P1153" s="431" t="s">
        <v>1151</v>
      </c>
      <c r="Q1153" s="432" t="s">
        <v>421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43">
        <v>505</v>
      </c>
      <c r="U1153" s="1212" cm="1">
        <f t="array" ref="U1153">12096-fx_qty</f>
        <v>0</v>
      </c>
      <c r="V1153" s="449">
        <f>PV_DATA[[#This Row],[QUANTITY]]*PV_DATA[[#This Row],[WATT]]/1000000</f>
        <v>0</v>
      </c>
      <c r="W1153" s="467">
        <f>PV_DATA[[#This Row],[QUANTITY]]/PV_DATA[[#This Row],[Qty/Pallet]]</f>
        <v>0</v>
      </c>
      <c r="X1153" s="1114">
        <f>PV_DATA[[#This Row],[QUANTITY]]/PV_DATA[[#This Row],[Qty/CT]]</f>
        <v>0</v>
      </c>
      <c r="Y1153" s="432" t="s">
        <v>6650</v>
      </c>
      <c r="Z1153" s="431" t="str">
        <f t="shared" ref="Z1153:Z1164" si="28">IF(AN1153&lt;&gt;"","COMPLETED",IF(AK1153&lt;&gt;"","IN-TRANSIT",""))</f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32"/>
      <c r="AE1153" s="432"/>
      <c r="AF1153" s="448" t="s">
        <v>1525</v>
      </c>
      <c r="AG1153" s="448" t="s">
        <v>1525</v>
      </c>
      <c r="AH1153" s="432" t="s">
        <v>68</v>
      </c>
      <c r="AI1153" s="442"/>
      <c r="AJ1153" s="442"/>
      <c r="AK1153" s="438" t="str">
        <f>IFERROR(IF(VLOOKUP(AT1153,Vessel!A:F,5,FALSE)=0,"",VLOOKUP(AT1153,Vessel!A:F,5,FALSE)),"")</f>
        <v/>
      </c>
      <c r="AL1153" s="442"/>
      <c r="AM1153" s="442"/>
      <c r="AN1153" s="588" t="str">
        <f>IFERROR(IF(VLOOKUP(AT1153,Vessel!A:I,9,FALSE)=0,"",VLOOKUP(AT1153,Vessel!A:I,9,FALSE)),"")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>IF(ISERROR(PV_DATA[[#This Row],[New Ark PO status]]),"",_xlfn.XLOOKUP(PV_DATA[[#This Row],[SPTN-PVHK New Ark PO'#]],New_Ark_Data[Purchase order Number],New_Ark_Data[Estimated time of arrival],"",0))</f>
        <v/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864</v>
      </c>
      <c r="BG1153" s="432" t="str">
        <f>_xlfn.XLOOKUP(PV_DATA[[#This Row],[New Ark SKU]],Table9[New Ark SKU],Table9[Back Glass],,0)</f>
        <v>Black glazing</v>
      </c>
      <c r="BH1153" s="432" t="str">
        <f>_xlfn.XLOOKUP(PV_DATA[[#This Row],[PORT DESTINATION]],Table12[PORT DESTINATION],Table12[Cosco Line],,0)</f>
        <v>n/a</v>
      </c>
      <c r="BJ1153" s="431"/>
    </row>
    <row r="1154" spans="1:62" ht="10.5" hidden="1">
      <c r="A1154" s="440" t="s">
        <v>6927</v>
      </c>
      <c r="B1154" s="440" t="s">
        <v>111</v>
      </c>
      <c r="C1154" s="440" t="str">
        <f>IFERROR(LEFT(PV_DATA[[#This Row],[TCL REFERENCE]],FIND(".",PV_DATA[[#This Row],[TCL REFERENCE]],1)-1),"Main Line")</f>
        <v>Main Line</v>
      </c>
      <c r="D1154" s="440" t="s">
        <v>63</v>
      </c>
      <c r="E1154" s="440" t="s">
        <v>68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40" t="s">
        <v>68</v>
      </c>
      <c r="J1154" s="432" t="s">
        <v>68</v>
      </c>
      <c r="K1154" s="432"/>
      <c r="L1154" s="432"/>
      <c r="M1154" s="431" t="s">
        <v>6273</v>
      </c>
      <c r="N1154" s="462">
        <v>46251</v>
      </c>
      <c r="O1154" s="432" t="s">
        <v>5374</v>
      </c>
      <c r="P1154" s="431" t="s">
        <v>6652</v>
      </c>
      <c r="Q1154" s="432" t="s">
        <v>6653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43">
        <v>475</v>
      </c>
      <c r="U1154" s="1212" cm="1">
        <f t="array" ref="U1154">11520-fx_qty</f>
        <v>288</v>
      </c>
      <c r="V1154" s="449">
        <f>PV_DATA[[#This Row],[QUANTITY]]*PV_DATA[[#This Row],[WATT]]/1000000</f>
        <v>0.1368</v>
      </c>
      <c r="W1154" s="467">
        <f>PV_DATA[[#This Row],[QUANTITY]]/PV_DATA[[#This Row],[Qty/Pallet]]</f>
        <v>8</v>
      </c>
      <c r="X1154" s="1114">
        <f>PV_DATA[[#This Row],[QUANTITY]]/PV_DATA[[#This Row],[Qty/CT]]</f>
        <v>0.30769230769230771</v>
      </c>
      <c r="Y1154" s="432" t="s">
        <v>6650</v>
      </c>
      <c r="Z1154" s="431" t="str">
        <f t="shared" si="28"/>
        <v/>
      </c>
      <c r="AA1154" s="432"/>
      <c r="AB1154" s="442"/>
      <c r="AC1154" s="468" t="str">
        <f>IF(PV_DATA[[#This Row],[Pick-Up Date]]&lt;&gt;"",_xlfn.ISOWEEKNUM(PV_DATA[[#This Row],[Pick-Up Date]]),"")</f>
        <v/>
      </c>
      <c r="AD1154" s="432"/>
      <c r="AE1154" s="432"/>
      <c r="AF1154" s="432" t="s">
        <v>122</v>
      </c>
      <c r="AG1154" s="432" t="s">
        <v>123</v>
      </c>
      <c r="AH1154" s="432" t="s">
        <v>68</v>
      </c>
      <c r="AI1154" s="442"/>
      <c r="AJ1154" s="442"/>
      <c r="AK1154" s="438" t="str">
        <f>IFERROR(IF(VLOOKUP(AT1154,Vessel!A:F,5,FALSE)=0,"",VLOOKUP(AT1154,Vessel!A:F,5,FALSE)),"")</f>
        <v/>
      </c>
      <c r="AL1154" s="442"/>
      <c r="AM1154" s="442"/>
      <c r="AN1154" s="588" t="str">
        <f>IFERROR(IF(VLOOKUP(AT1154,Vessel!A:I,9,FALSE)=0,"",VLOOKUP(AT1154,Vessel!A:I,9,FALSE)),"")</f>
        <v/>
      </c>
      <c r="AO1154" s="432"/>
      <c r="AP1154" s="432"/>
      <c r="AQ1154" s="446"/>
      <c r="AR1154" s="432"/>
      <c r="AS1154" s="432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2"/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>
        <f>IF(ISERROR(PV_DATA[[#This Row],[New Ark PO status]]),"",_xlfn.XLOOKUP(PV_DATA[[#This Row],[SPTN-PVHK New Ark PO'#]],New_Ark_Data[Purchase order Number],New_Ark_Data[Estimated time of arrival],"",0))</f>
        <v>0</v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936</v>
      </c>
      <c r="BG1154" s="432" t="str">
        <f>_xlfn.XLOOKUP(PV_DATA[[#This Row],[New Ark SKU]],Table9[New Ark SKU],Table9[Back Glass],,0)</f>
        <v>Black glazing</v>
      </c>
      <c r="BH1154" s="432" t="str">
        <f>_xlfn.XLOOKUP(PV_DATA[[#This Row],[PORT DESTINATION]],Table12[PORT DESTINATION],Table12[Cosco Line],,0)</f>
        <v>n/a</v>
      </c>
      <c r="BJ1154" s="431"/>
    </row>
    <row r="1155" spans="1:62" ht="10.5" hidden="1">
      <c r="A1155" s="463" t="s">
        <v>6928</v>
      </c>
      <c r="B1155" s="463" t="s">
        <v>111</v>
      </c>
      <c r="C1155" s="440" t="str">
        <f>IFERROR(LEFT(PV_DATA[[#This Row],[TCL REFERENCE]],FIND(".",PV_DATA[[#This Row],[TCL REFERENCE]],1)-1),"Main Line")</f>
        <v>Main Line</v>
      </c>
      <c r="D1155" s="463" t="s">
        <v>63</v>
      </c>
      <c r="E1155" s="440" t="s">
        <v>68</v>
      </c>
      <c r="F1155" s="440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63" t="s">
        <v>68</v>
      </c>
      <c r="H1155" s="463" t="s">
        <v>68</v>
      </c>
      <c r="I1155" s="463" t="s">
        <v>68</v>
      </c>
      <c r="J1155" s="431" t="s">
        <v>68</v>
      </c>
      <c r="K1155" s="431"/>
      <c r="L1155" s="431"/>
      <c r="M1155" s="431" t="s">
        <v>6273</v>
      </c>
      <c r="N1155" s="462">
        <v>46251</v>
      </c>
      <c r="O1155" s="431" t="s">
        <v>5374</v>
      </c>
      <c r="P1155" s="431" t="s">
        <v>5375</v>
      </c>
      <c r="Q1155" s="431" t="s">
        <v>5376</v>
      </c>
      <c r="R1155" s="431" t="str">
        <f>_xlfn.XLOOKUP(PV_DATA[[#This Row],[New Ark SKU]],Table9[New Ark SKU],Table9[Connector],,0)</f>
        <v>EVO2A</v>
      </c>
      <c r="S1155" s="443" t="str">
        <f>_xlfn.XLOOKUP(PV_DATA[[#This Row],[New Ark SKU]],Table9[New Ark SKU],Table9[Cable],,0)</f>
        <v>±1200mm</v>
      </c>
      <c r="T1155" s="434">
        <v>470</v>
      </c>
      <c r="U1155" s="1207" cm="1">
        <f t="array" ref="U1155">4320-fx_qty</f>
        <v>576</v>
      </c>
      <c r="V1155" s="435">
        <f>PV_DATA[[#This Row],[QUANTITY]]*PV_DATA[[#This Row],[WATT]]/1000000</f>
        <v>0.27072000000000002</v>
      </c>
      <c r="W1155" s="436">
        <f>PV_DATA[[#This Row],[QUANTITY]]/PV_DATA[[#This Row],[Qty/Pallet]]</f>
        <v>16</v>
      </c>
      <c r="X1155" s="1110">
        <f>PV_DATA[[#This Row],[QUANTITY]]/PV_DATA[[#This Row],[Qty/CT]]</f>
        <v>0.61538461538461542</v>
      </c>
      <c r="Y1155" s="431" t="s">
        <v>6650</v>
      </c>
      <c r="Z1155" s="431" t="str">
        <f t="shared" si="28"/>
        <v/>
      </c>
      <c r="AA1155" s="431"/>
      <c r="AB1155" s="438"/>
      <c r="AC1155" s="487" t="str">
        <f>IF(PV_DATA[[#This Row],[Pick-Up Date]]&lt;&gt;"",_xlfn.ISOWEEKNUM(PV_DATA[[#This Row],[Pick-Up Date]]),"")</f>
        <v/>
      </c>
      <c r="AE1155" s="431"/>
      <c r="AF1155" s="431" t="s">
        <v>122</v>
      </c>
      <c r="AG1155" s="431" t="s">
        <v>123</v>
      </c>
      <c r="AH1155" s="432" t="s">
        <v>68</v>
      </c>
      <c r="AI1155" s="438"/>
      <c r="AK1155" s="438" t="str">
        <f>IFERROR(IF(VLOOKUP(AT1155,Vessel!A:F,5,FALSE)=0,"",VLOOKUP(AT1155,Vessel!A:F,5,FALSE)),"")</f>
        <v/>
      </c>
      <c r="AN1155" s="588" t="str">
        <f>IFERROR(IF(VLOOKUP(AT1155,Vessel!A:I,9,FALSE)=0,"",VLOOKUP(AT1155,Vessel!A:I,9,FALSE)),"")</f>
        <v/>
      </c>
      <c r="AR1155" s="431"/>
      <c r="AS1155" s="431"/>
      <c r="AT1155" s="432"/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5" s="438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38">
        <f>IF(ISERROR(PV_DATA[[#This Row],[New Ark PO status]]),"",_xlfn.XLOOKUP(PV_DATA[[#This Row],[SPTN-PVHK New Ark PO'#]],New_Ark_Data[Purchase order Number],New_Ark_Data[Estimated time of arrival],"",0))</f>
        <v>0</v>
      </c>
      <c r="AZ1155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38" t="str">
        <f>IFERROR(PV_DATA[[#This Row],[ODP ETA Port]]+PV_DATA[[#This Row],[Customs/Leg3 Assumption]],"n/a")</f>
        <v>n/a</v>
      </c>
      <c r="BB1155" s="434" t="e">
        <f>YEAR(PV_DATA[[#This Row],[ETA for New Ark update]])</f>
        <v>#VALUE!</v>
      </c>
      <c r="BC1155" s="431" t="e">
        <f>MONTH(PV_DATA[[#This Row],[ETA for New Ark update]])</f>
        <v>#VALUE!</v>
      </c>
      <c r="BD1155" s="431">
        <f>IFERROR(_xlfn.ISOWEEKNUM(PV_DATA[[#This Row],[ETA for New Ark update]]),0)</f>
        <v>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2" t="str">
        <f>_xlfn.XLOOKUP(PV_DATA[[#This Row],[New Ark SKU]],Table9[New Ark SKU],Table9[Back Glass],,0)</f>
        <v>Black glazing</v>
      </c>
      <c r="BH1155" s="431" t="str">
        <f>_xlfn.XLOOKUP(PV_DATA[[#This Row],[PORT DESTINATION]],Table12[PORT DESTINATION],Table12[Cosco Line],,0)</f>
        <v>n/a</v>
      </c>
      <c r="BJ1155" s="431"/>
    </row>
    <row r="1156" spans="1:62" ht="10.5" hidden="1">
      <c r="A1156" s="463" t="s">
        <v>6929</v>
      </c>
      <c r="B1156" s="463" t="s">
        <v>111</v>
      </c>
      <c r="C1156" s="440" t="str">
        <f>IFERROR(LEFT(PV_DATA[[#This Row],[TCL REFERENCE]],FIND(".",PV_DATA[[#This Row],[TCL REFERENCE]],1)-1),"Main Line")</f>
        <v>Main Line</v>
      </c>
      <c r="D1156" s="463" t="s">
        <v>63</v>
      </c>
      <c r="E1156" s="440" t="s">
        <v>68</v>
      </c>
      <c r="F1156" s="440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63" t="s">
        <v>68</v>
      </c>
      <c r="H1156" s="463" t="s">
        <v>68</v>
      </c>
      <c r="I1156" s="463" t="s">
        <v>68</v>
      </c>
      <c r="J1156" s="431" t="s">
        <v>68</v>
      </c>
      <c r="K1156" s="431"/>
      <c r="L1156" s="431"/>
      <c r="M1156" s="431" t="s">
        <v>6273</v>
      </c>
      <c r="N1156" s="462">
        <v>46251</v>
      </c>
      <c r="O1156" s="431" t="s">
        <v>5374</v>
      </c>
      <c r="P1156" s="431" t="s">
        <v>6695</v>
      </c>
      <c r="Q1156" s="431" t="s">
        <v>6696</v>
      </c>
      <c r="R1156" s="431" t="str">
        <f>_xlfn.XLOOKUP(PV_DATA[[#This Row],[New Ark SKU]],Table9[New Ark SKU],Table9[Connector],,0)</f>
        <v>EVO2A</v>
      </c>
      <c r="S1156" s="443" t="str">
        <f>_xlfn.XLOOKUP(PV_DATA[[#This Row],[New Ark SKU]],Table9[New Ark SKU],Table9[Cable],,0)</f>
        <v>±1200mm</v>
      </c>
      <c r="T1156" s="434">
        <v>480</v>
      </c>
      <c r="U1156" s="1207" cm="1">
        <f t="array" ref="U1156">5688-fx_qty</f>
        <v>72</v>
      </c>
      <c r="V1156" s="435">
        <f>PV_DATA[[#This Row],[QUANTITY]]*PV_DATA[[#This Row],[WATT]]/1000000</f>
        <v>3.456E-2</v>
      </c>
      <c r="W1156" s="436">
        <f>PV_DATA[[#This Row],[QUANTITY]]/PV_DATA[[#This Row],[Qty/Pallet]]</f>
        <v>2</v>
      </c>
      <c r="X1156" s="1110">
        <f>PV_DATA[[#This Row],[QUANTITY]]/PV_DATA[[#This Row],[Qty/CT]]</f>
        <v>7.6923076923076927E-2</v>
      </c>
      <c r="Y1156" s="431" t="s">
        <v>6650</v>
      </c>
      <c r="Z1156" s="431" t="str">
        <f t="shared" si="28"/>
        <v/>
      </c>
      <c r="AA1156" s="431"/>
      <c r="AB1156" s="438"/>
      <c r="AC1156" s="487" t="str">
        <f>IF(PV_DATA[[#This Row],[Pick-Up Date]]&lt;&gt;"",_xlfn.ISOWEEKNUM(PV_DATA[[#This Row],[Pick-Up Date]]),"")</f>
        <v/>
      </c>
      <c r="AE1156" s="431"/>
      <c r="AF1156" s="431" t="s">
        <v>122</v>
      </c>
      <c r="AG1156" s="431" t="s">
        <v>123</v>
      </c>
      <c r="AH1156" s="432" t="s">
        <v>68</v>
      </c>
      <c r="AI1156" s="438"/>
      <c r="AK1156" s="438" t="str">
        <f>IFERROR(IF(VLOOKUP(AT1156,Vessel!A:F,5,FALSE)=0,"",VLOOKUP(AT1156,Vessel!A:F,5,FALSE)),"")</f>
        <v/>
      </c>
      <c r="AN1156" s="588" t="str">
        <f>IFERROR(IF(VLOOKUP(AT1156,Vessel!A:I,9,FALSE)=0,"",VLOOKUP(AT1156,Vessel!A:I,9,FALSE)),"")</f>
        <v/>
      </c>
      <c r="AQ1156" s="619"/>
      <c r="AR1156" s="431"/>
      <c r="AS1156" s="431"/>
      <c r="AT1156" s="432"/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6" s="438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38" t="str">
        <f>IF(ISERROR(PV_DATA[[#This Row],[New Ark PO status]]),"",_xlfn.XLOOKUP(PV_DATA[[#This Row],[SPTN-PVHK New Ark PO'#]],New_Ark_Data[Purchase order Number],New_Ark_Data[Estimated time of arrival],"",0))</f>
        <v/>
      </c>
      <c r="AZ1156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38" t="str">
        <f>IFERROR(PV_DATA[[#This Row],[ODP ETA Port]]+PV_DATA[[#This Row],[Customs/Leg3 Assumption]],"n/a")</f>
        <v>n/a</v>
      </c>
      <c r="BB1156" s="434" t="e">
        <f>YEAR(PV_DATA[[#This Row],[ETA for New Ark update]])</f>
        <v>#VALUE!</v>
      </c>
      <c r="BC1156" s="431" t="e">
        <f>MONTH(PV_DATA[[#This Row],[ETA for New Ark update]])</f>
        <v>#VALUE!</v>
      </c>
      <c r="BD1156" s="431">
        <f>IFERROR(_xlfn.ISOWEEKNUM(PV_DATA[[#This Row],[ETA for New Ark update]]),0)</f>
        <v>0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936</v>
      </c>
      <c r="BG1156" s="432" t="str">
        <f>_xlfn.XLOOKUP(PV_DATA[[#This Row],[New Ark SKU]],Table9[New Ark SKU],Table9[Back Glass],,0)</f>
        <v>Black glazing</v>
      </c>
      <c r="BH1156" s="431" t="str">
        <f>_xlfn.XLOOKUP(PV_DATA[[#This Row],[PORT DESTINATION]],Table12[PORT DESTINATION],Table12[Cosco Line],,0)</f>
        <v>n/a</v>
      </c>
      <c r="BJ1156" s="431"/>
    </row>
    <row r="1157" spans="1:62" ht="10.5" hidden="1">
      <c r="A1157" s="440" t="s">
        <v>6930</v>
      </c>
      <c r="B1157" s="440" t="s">
        <v>61</v>
      </c>
      <c r="C1157" s="440" t="str">
        <f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432"/>
      <c r="L1157" s="432"/>
      <c r="M1157" s="431" t="s">
        <v>6273</v>
      </c>
      <c r="N1157" s="462">
        <v>46209</v>
      </c>
      <c r="O1157" s="432" t="s">
        <v>284</v>
      </c>
      <c r="P1157" s="431" t="s">
        <v>5578</v>
      </c>
      <c r="Q1157" s="432" t="s">
        <v>1570</v>
      </c>
      <c r="R1157" s="432" t="str">
        <f>_xlfn.XLOOKUP(PV_DATA[[#This Row],[New Ark SKU]],Table9[New Ark SKU],Table9[Connector],,0)</f>
        <v>H4(Com)</v>
      </c>
      <c r="S1157" s="443" t="str">
        <f>_xlfn.XLOOKUP(PV_DATA[[#This Row],[New Ark SKU]],Table9[New Ark SKU],Table9[Cable],,0)</f>
        <v>±1400mm</v>
      </c>
      <c r="T1157" s="443">
        <v>650</v>
      </c>
      <c r="U1157" s="1212" cm="1">
        <f t="array" ref="U1157">28080-fx_qty</f>
        <v>0</v>
      </c>
      <c r="V1157" s="449">
        <f>PV_DATA[[#This Row],[QUANTITY]]*PV_DATA[[#This Row],[WATT]]/1000000</f>
        <v>0</v>
      </c>
      <c r="W1157" s="467">
        <f>PV_DATA[[#This Row],[QUANTITY]]/PV_DATA[[#This Row],[Qty/Pallet]]</f>
        <v>0</v>
      </c>
      <c r="X1157" s="1114">
        <f>PV_DATA[[#This Row],[QUANTITY]]/PV_DATA[[#This Row],[Qty/CT]]</f>
        <v>0</v>
      </c>
      <c r="Y1157" s="432" t="s">
        <v>6650</v>
      </c>
      <c r="Z1157" s="431" t="str">
        <f t="shared" si="28"/>
        <v/>
      </c>
      <c r="AA1157" s="432"/>
      <c r="AB1157" s="442"/>
      <c r="AC1157" s="468" t="str">
        <f>IF(PV_DATA[[#This Row],[Pick-Up Date]]&lt;&gt;"",_xlfn.ISOWEEKNUM(PV_DATA[[#This Row],[Pick-Up Date]]),"")</f>
        <v/>
      </c>
      <c r="AD1157" s="486"/>
      <c r="AE1157" s="432"/>
      <c r="AF1157" s="432" t="s">
        <v>61</v>
      </c>
      <c r="AG1157" s="432" t="s">
        <v>61</v>
      </c>
      <c r="AH1157" s="432" t="s">
        <v>68</v>
      </c>
      <c r="AI1157" s="442"/>
      <c r="AJ1157" s="442"/>
      <c r="AK1157" s="438" t="str">
        <f>IFERROR(IF(VLOOKUP(AT1157,Vessel!A:F,5,FALSE)=0,"",VLOOKUP(AT1157,Vessel!A:F,5,FALSE)),"")</f>
        <v/>
      </c>
      <c r="AL1157" s="442"/>
      <c r="AM1157" s="442"/>
      <c r="AN1157" s="588" t="str">
        <f>IFERROR(IF(VLOOKUP(AT1157,Vessel!A:I,9,FALSE)=0,"",VLOOKUP(AT1157,Vessel!A:I,9,FALSE)),"")</f>
        <v/>
      </c>
      <c r="AO1157" s="432"/>
      <c r="AP1157" s="432"/>
      <c r="AQ1157" s="446"/>
      <c r="AR1157" s="432"/>
      <c r="AS1157" s="432"/>
      <c r="AT1157" s="432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2"/>
      <c r="AW1157" s="442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2" t="str">
        <f>IF(ISERROR(PV_DATA[[#This Row],[New Ark PO status]]),"",_xlfn.XLOOKUP(PV_DATA[[#This Row],[SPTN-PVHK New Ark PO'#]],New_Ark_Data[Purchase order Number],New_Ark_Data[Estimated time of arrival],"",0))</f>
        <v/>
      </c>
      <c r="AZ11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2" t="str">
        <f>IFERROR(PV_DATA[[#This Row],[ODP ETA Port]]+PV_DATA[[#This Row],[Customs/Leg3 Assumption]],"n/a")</f>
        <v>n/a</v>
      </c>
      <c r="BB1157" s="443" t="e">
        <f>YEAR(PV_DATA[[#This Row],[ETA for New Ark update]])</f>
        <v>#VALUE!</v>
      </c>
      <c r="BC1157" s="432" t="e">
        <f>MONTH(PV_DATA[[#This Row],[ETA for New Ark update]])</f>
        <v>#VALUE!</v>
      </c>
      <c r="BD1157" s="432">
        <f>IFERROR(_xlfn.ISOWEEKNUM(PV_DATA[[#This Row],[ETA for New Ark update]]),0)</f>
        <v>0</v>
      </c>
      <c r="BE1157" s="432">
        <f>_xlfn.XLOOKUP(PV_DATA[[#This Row],[New Ark SKU]],Table9[New Ark SKU],Table9[Total PCS per Pallet],,0)</f>
        <v>36</v>
      </c>
      <c r="BF1157" s="432">
        <f>_xlfn.XLOOKUP(PV_DATA[[#This Row],[New Ark SKU]],Table9[New Ark SKU],Table9[Total PCS per 40HQ Container],,0)</f>
        <v>720</v>
      </c>
      <c r="BG1157" s="432" t="str">
        <f>_xlfn.XLOOKUP(PV_DATA[[#This Row],[New Ark SKU]],Table9[New Ark SKU],Table9[Back Glass],,0)</f>
        <v>White glazing</v>
      </c>
      <c r="BH1157" s="432" t="str">
        <f>_xlfn.XLOOKUP(PV_DATA[[#This Row],[PORT DESTINATION]],Table12[PORT DESTINATION],Table12[Cosco Line],,0)</f>
        <v>n/a</v>
      </c>
      <c r="BJ1157" s="431"/>
    </row>
    <row r="1158" spans="1:62" s="432" customFormat="1" ht="10.5" hidden="1">
      <c r="A1158" s="440" t="s">
        <v>6931</v>
      </c>
      <c r="B1158" s="440" t="s">
        <v>61</v>
      </c>
      <c r="C1158" s="440" t="str">
        <f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M1158" s="431" t="s">
        <v>6273</v>
      </c>
      <c r="N1158" s="462">
        <v>46209</v>
      </c>
      <c r="O1158" s="432" t="s">
        <v>284</v>
      </c>
      <c r="P1158" s="440" t="s">
        <v>5491</v>
      </c>
      <c r="Q1158" s="432" t="s">
        <v>5341</v>
      </c>
      <c r="R1158" s="432" t="str">
        <f>_xlfn.XLOOKUP(PV_DATA[[#This Row],[New Ark SKU]],Table9[New Ark SKU],Table9[Connector],,0)</f>
        <v>H4(Com)</v>
      </c>
      <c r="S1158" s="443" t="str">
        <f>_xlfn.XLOOKUP(PV_DATA[[#This Row],[New Ark SKU]],Table9[New Ark SKU],Table9[Cable],,0)</f>
        <v>±1400mm</v>
      </c>
      <c r="T1158" s="443">
        <v>655</v>
      </c>
      <c r="U1158" s="1212" cm="1">
        <f t="array" ref="U1158">2880-fx_qty</f>
        <v>0</v>
      </c>
      <c r="V1158" s="449">
        <f>PV_DATA[[#This Row],[QUANTITY]]*PV_DATA[[#This Row],[WATT]]/1000000</f>
        <v>0</v>
      </c>
      <c r="W1158" s="467">
        <f>PV_DATA[[#This Row],[QUANTITY]]/PV_DATA[[#This Row],[Qty/Pallet]]</f>
        <v>0</v>
      </c>
      <c r="X1158" s="1114">
        <f>PV_DATA[[#This Row],[QUANTITY]]/PV_DATA[[#This Row],[Qty/CT]]</f>
        <v>0</v>
      </c>
      <c r="Y1158" s="432" t="s">
        <v>6650</v>
      </c>
      <c r="Z1158" s="432" t="str">
        <f t="shared" si="28"/>
        <v/>
      </c>
      <c r="AB1158" s="442"/>
      <c r="AC1158" s="468" t="str">
        <f>IF(PV_DATA[[#This Row],[Pick-Up Date]]&lt;&gt;"",_xlfn.ISOWEEKNUM(PV_DATA[[#This Row],[Pick-Up Date]]),"")</f>
        <v/>
      </c>
      <c r="AF1158" s="432" t="s">
        <v>61</v>
      </c>
      <c r="AG1158" s="432" t="s">
        <v>61</v>
      </c>
      <c r="AH1158" s="432" t="s">
        <v>68</v>
      </c>
      <c r="AI1158" s="442"/>
      <c r="AJ1158" s="442"/>
      <c r="AK1158" s="438" t="str">
        <f>IFERROR(IF(VLOOKUP(AT1158,Vessel!A:F,5,FALSE)=0,"",VLOOKUP(AT1158,Vessel!A:F,5,FALSE)),"")</f>
        <v/>
      </c>
      <c r="AL1158" s="442"/>
      <c r="AM1158" s="442"/>
      <c r="AN1158" s="588" t="str">
        <f>IFERROR(IF(VLOOKUP(AT1158,Vessel!A:I,9,FALSE)=0,"",VLOOKUP(AT1158,Vessel!A:I,9,FALSE)),"")</f>
        <v/>
      </c>
      <c r="AQ1158" s="446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8" s="442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 t="str">
        <f>IF(ISERROR(PV_DATA[[#This Row],[New Ark PO status]]),"",_xlfn.XLOOKUP(PV_DATA[[#This Row],[SPTN-PVHK New Ark PO'#]],New_Ark_Data[Purchase order Number],New_Ark_Data[Estimated time of arrival],"",0))</f>
        <v/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>IFERROR(PV_DATA[[#This Row],[ODP ETA Port]]+PV_DATA[[#This Row],[Customs/Leg3 Assumption]],"n/a")</f>
        <v>n/a</v>
      </c>
      <c r="BB1158" s="443" t="e">
        <f>YEAR(PV_DATA[[#This Row],[ETA for New Ark update]])</f>
        <v>#VALUE!</v>
      </c>
      <c r="BC1158" s="432" t="e">
        <f>MONTH(PV_DATA[[#This Row],[ETA for New Ark update]])</f>
        <v>#VALUE!</v>
      </c>
      <c r="BD1158" s="432">
        <f>IFERROR(_xlfn.ISOWEEKNUM(PV_DATA[[#This Row],[ETA for New Ark update]]),0)</f>
        <v>0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720</v>
      </c>
      <c r="BG1158" s="432" t="str">
        <f>_xlfn.XLOOKUP(PV_DATA[[#This Row],[New Ark SKU]],Table9[New Ark SKU],Table9[Back Glass],,0)</f>
        <v>White glazing</v>
      </c>
      <c r="BH1158" s="432" t="str">
        <f>_xlfn.XLOOKUP(PV_DATA[[#This Row],[PORT DESTINATION]],Table12[PORT DESTINATION],Table12[Cosco Line],,0)</f>
        <v>n/a</v>
      </c>
    </row>
    <row r="1159" spans="1:62" ht="10.5" hidden="1">
      <c r="A1159" s="440" t="s">
        <v>6932</v>
      </c>
      <c r="B1159" s="440" t="s">
        <v>111</v>
      </c>
      <c r="C1159" s="728" t="str">
        <f>IFERROR(LEFT(PV_DATA[[#This Row],[TCL REFERENCE]],FIND(".",PV_DATA[[#This Row],[TCL REFERENCE]],1)-1),"Main Line")</f>
        <v>Main Line</v>
      </c>
      <c r="D1159" s="440" t="s">
        <v>63</v>
      </c>
      <c r="E1159" s="440" t="s">
        <v>68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63" t="s">
        <v>68</v>
      </c>
      <c r="H1159" s="463" t="s">
        <v>68</v>
      </c>
      <c r="I1159" s="463" t="s">
        <v>68</v>
      </c>
      <c r="J1159" s="431" t="s">
        <v>68</v>
      </c>
      <c r="K1159" s="431"/>
      <c r="L1159" s="431"/>
      <c r="M1159" s="431" t="s">
        <v>6273</v>
      </c>
      <c r="N1159" s="462">
        <v>46234</v>
      </c>
      <c r="O1159" s="432" t="s">
        <v>5374</v>
      </c>
      <c r="P1159" s="431" t="s">
        <v>6253</v>
      </c>
      <c r="Q1159" s="432" t="s">
        <v>6254</v>
      </c>
      <c r="R1159" s="621" t="str">
        <f>_xlfn.XLOOKUP(PV_DATA[[#This Row],[New Ark SKU]],Table9[New Ark SKU],Table9[Connector],,0)</f>
        <v>EVO2A</v>
      </c>
      <c r="S1159" s="622" t="str">
        <f>_xlfn.XLOOKUP(PV_DATA[[#This Row],[New Ark SKU]],Table9[New Ark SKU],Table9[Cable],,0)</f>
        <v>±1200mm</v>
      </c>
      <c r="T1159" s="443">
        <v>480</v>
      </c>
      <c r="U1159" s="1215" cm="1">
        <f t="array" ref="U1159">7488-fx_qty</f>
        <v>0</v>
      </c>
      <c r="V1159" s="738">
        <f>PV_DATA[[#This Row],[QUANTITY]]*PV_DATA[[#This Row],[WATT]]/1000000</f>
        <v>0</v>
      </c>
      <c r="W1159" s="739">
        <f>PV_DATA[[#This Row],[QUANTITY]]/36</f>
        <v>0</v>
      </c>
      <c r="X1159" s="1204">
        <f>PV_DATA[[#This Row],[QUANTITY]]/PV_DATA[[#This Row],[Qty/CT]]</f>
        <v>0</v>
      </c>
      <c r="Y1159" s="448" t="s">
        <v>6650</v>
      </c>
      <c r="Z1159" s="621" t="str">
        <f t="shared" si="28"/>
        <v/>
      </c>
      <c r="AA1159" s="621"/>
      <c r="AB1159" s="628"/>
      <c r="AC1159" s="629" t="str">
        <f>IF(PV_DATA[[#This Row],[Pick-Up Date]]&lt;&gt;"",_xlfn.ISOWEEKNUM(PV_DATA[[#This Row],[Pick-Up Date]]),"")</f>
        <v/>
      </c>
      <c r="AD1159" s="621"/>
      <c r="AE1159" s="621"/>
      <c r="AF1159" s="432" t="s">
        <v>122</v>
      </c>
      <c r="AG1159" s="432" t="s">
        <v>123</v>
      </c>
      <c r="AH1159" s="432" t="s">
        <v>68</v>
      </c>
      <c r="AI1159" s="628"/>
      <c r="AJ1159" s="628"/>
      <c r="AK1159" s="438" t="str">
        <f>IFERROR(IF(VLOOKUP(AT1159,Vessel!A:F,5,FALSE)=0,"",VLOOKUP(AT1159,Vessel!A:F,5,FALSE)),"")</f>
        <v/>
      </c>
      <c r="AL1159" s="628"/>
      <c r="AM1159" s="628"/>
      <c r="AN1159" s="588" t="str">
        <f>IFERROR(IF(VLOOKUP(AT1159,Vessel!A:I,9,FALSE)=0,"",VLOOKUP(AT1159,Vessel!A:I,9,FALSE)),"")</f>
        <v/>
      </c>
      <c r="AO1159" s="621"/>
      <c r="AP1159" s="621"/>
      <c r="AQ1159" s="630"/>
      <c r="AR1159" s="621"/>
      <c r="AS1159" s="621"/>
      <c r="AT1159" s="621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21"/>
      <c r="AW1159" s="628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28" t="str">
        <f>IF(ISERROR(PV_DATA[[#This Row],[New Ark PO status]]),"",_xlfn.XLOOKUP(PV_DATA[[#This Row],[SPTN-PVHK New Ark PO'#]],New_Ark_Data[Purchase order Number],New_Ark_Data[Estimated time of arrival],"",0))</f>
        <v/>
      </c>
      <c r="AZ115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28" t="str">
        <f>IFERROR(PV_DATA[[#This Row],[ODP ETA Port]]+PV_DATA[[#This Row],[Customs/Leg3 Assumption]],"n/a")</f>
        <v>n/a</v>
      </c>
      <c r="BB1159" s="622" t="e">
        <f>YEAR(PV_DATA[[#This Row],[ETA for New Ark update]])</f>
        <v>#VALUE!</v>
      </c>
      <c r="BC1159" s="621" t="e">
        <f>MONTH(PV_DATA[[#This Row],[ETA for New Ark update]])</f>
        <v>#VALUE!</v>
      </c>
      <c r="BD1159" s="621">
        <f>IFERROR(_xlfn.ISOWEEKNUM(PV_DATA[[#This Row],[ETA for New Ark update]]),0)</f>
        <v>0</v>
      </c>
      <c r="BE1159" s="621">
        <f>_xlfn.XLOOKUP(PV_DATA[[#This Row],[New Ark SKU]],Table9[New Ark SKU],Table9[Total PCS per Pallet],,0)</f>
        <v>36</v>
      </c>
      <c r="BF1159" s="621">
        <f>_xlfn.XLOOKUP(PV_DATA[[#This Row],[New Ark SKU]],Table9[New Ark SKU],Table9[Total PCS per 40HQ Container],,0)</f>
        <v>936</v>
      </c>
      <c r="BG1159" s="621" t="str">
        <f>_xlfn.XLOOKUP(PV_DATA[[#This Row],[New Ark SKU]],Table9[New Ark SKU],Table9[Back Glass],,0)</f>
        <v>White glazing</v>
      </c>
      <c r="BH1159" s="631" t="str">
        <f>_xlfn.XLOOKUP(PV_DATA[[#This Row],[PORT DESTINATION]],Table12[PORT DESTINATION],Table12[Cosco Line],,0)</f>
        <v>n/a</v>
      </c>
      <c r="BJ1159" s="431"/>
    </row>
    <row r="1160" spans="1:62" ht="10.5" hidden="1">
      <c r="A1160" s="729" t="s">
        <v>6933</v>
      </c>
      <c r="B1160" s="728" t="s">
        <v>1757</v>
      </c>
      <c r="C1160" s="728" t="str">
        <f>IFERROR(LEFT(PV_DATA[[#This Row],[TCL REFERENCE]],FIND(".",PV_DATA[[#This Row],[TCL REFERENCE]],1)-1),"Main Line")</f>
        <v>Main Line</v>
      </c>
      <c r="D1160" s="440" t="s">
        <v>63</v>
      </c>
      <c r="E1160" s="728" t="s">
        <v>68</v>
      </c>
      <c r="F1160" s="440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0" t="s">
        <v>68</v>
      </c>
      <c r="H1160" s="440" t="s">
        <v>68</v>
      </c>
      <c r="I1160" s="440" t="s">
        <v>68</v>
      </c>
      <c r="J1160" s="432" t="s">
        <v>68</v>
      </c>
      <c r="K1160" s="621"/>
      <c r="L1160" s="621"/>
      <c r="M1160" s="431" t="s">
        <v>6273</v>
      </c>
      <c r="N1160" s="462">
        <v>46230</v>
      </c>
      <c r="O1160" s="432" t="s">
        <v>284</v>
      </c>
      <c r="P1160" s="625" t="s">
        <v>5846</v>
      </c>
      <c r="Q1160" s="621" t="s">
        <v>5847</v>
      </c>
      <c r="R1160" s="621" t="str">
        <f>_xlfn.XLOOKUP(PV_DATA[[#This Row],[New Ark SKU]],Table9[New Ark SKU],Table9[Connector],,0)</f>
        <v>EVO2A</v>
      </c>
      <c r="S1160" s="443" t="str">
        <f>_xlfn.XLOOKUP(PV_DATA[[#This Row],[New Ark SKU]],Table9[New Ark SKU],Table9[Cable],,0)</f>
        <v>±1200mm</v>
      </c>
      <c r="T1160" s="622">
        <v>485</v>
      </c>
      <c r="U1160" s="1156" cm="1">
        <f t="array" ref="U1160">14976-fx_qty</f>
        <v>0</v>
      </c>
      <c r="V1160" s="626">
        <f>PV_DATA[[#This Row],[QUANTITY]]*PV_DATA[[#This Row],[WATT]]/1000000</f>
        <v>0</v>
      </c>
      <c r="W1160" s="627">
        <f>PV_DATA[[#This Row],[QUANTITY]]/36</f>
        <v>0</v>
      </c>
      <c r="X1160" s="1114">
        <f>PV_DATA[[#This Row],[QUANTITY]]/PV_DATA[[#This Row],[Qty/CT]]</f>
        <v>0</v>
      </c>
      <c r="Y1160" s="432" t="s">
        <v>6650</v>
      </c>
      <c r="Z1160" s="431" t="str">
        <f t="shared" si="28"/>
        <v/>
      </c>
      <c r="AA1160" s="621"/>
      <c r="AB1160" s="628"/>
      <c r="AC1160" s="629" t="str">
        <f>IF(PV_DATA[[#This Row],[Pick-Up Date]]&lt;&gt;"",_xlfn.ISOWEEKNUM(PV_DATA[[#This Row],[Pick-Up Date]]),"")</f>
        <v/>
      </c>
      <c r="AD1160" s="621"/>
      <c r="AE1160" s="621"/>
      <c r="AF1160" s="621" t="s">
        <v>1525</v>
      </c>
      <c r="AG1160" s="621" t="s">
        <v>5992</v>
      </c>
      <c r="AH1160" s="432" t="s">
        <v>68</v>
      </c>
      <c r="AI1160" s="628"/>
      <c r="AJ1160" s="628"/>
      <c r="AK1160" s="438" t="str">
        <f>IFERROR(IF(VLOOKUP(AT1160,Vessel!A:F,5,FALSE)=0,"",VLOOKUP(AT1160,Vessel!A:F,5,FALSE)),"")</f>
        <v/>
      </c>
      <c r="AL1160" s="628"/>
      <c r="AM1160" s="628"/>
      <c r="AN1160" s="588" t="str">
        <f>IFERROR(IF(VLOOKUP(AT1160,Vessel!A:I,9,FALSE)=0,"",VLOOKUP(AT1160,Vessel!A:I,9,FALSE)),"")</f>
        <v/>
      </c>
      <c r="AO1160" s="621"/>
      <c r="AP1160" s="621"/>
      <c r="AQ1160" s="630"/>
      <c r="AR1160" s="621"/>
      <c r="AS1160" s="621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21"/>
      <c r="AW1160" s="628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28" t="str">
        <f>IF(ISERROR(PV_DATA[[#This Row],[New Ark PO status]]),"",_xlfn.XLOOKUP(PV_DATA[[#This Row],[SPTN-PVHK New Ark PO'#]],New_Ark_Data[Purchase order Number],New_Ark_Data[Estimated time of arrival],"",0))</f>
        <v/>
      </c>
      <c r="AZ1160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628" t="str">
        <f>IFERROR(PV_DATA[[#This Row],[ODP ETA Port]]+PV_DATA[[#This Row],[Customs/Leg3 Assumption]],"n/a")</f>
        <v>n/a</v>
      </c>
      <c r="BB1160" s="622" t="e">
        <f>YEAR(PV_DATA[[#This Row],[ETA for New Ark update]])</f>
        <v>#VALUE!</v>
      </c>
      <c r="BC1160" s="621" t="e">
        <f>MONTH(PV_DATA[[#This Row],[ETA for New Ark update]])</f>
        <v>#VALUE!</v>
      </c>
      <c r="BD1160" s="621">
        <f>IFERROR(_xlfn.ISOWEEKNUM(PV_DATA[[#This Row],[ETA for New Ark update]]),0)</f>
        <v>0</v>
      </c>
      <c r="BE1160" s="621">
        <f>_xlfn.XLOOKUP(PV_DATA[[#This Row],[New Ark SKU]],Table9[New Ark SKU],Table9[Total PCS per Pallet],,0)</f>
        <v>36</v>
      </c>
      <c r="BF1160" s="621">
        <f>_xlfn.XLOOKUP(PV_DATA[[#This Row],[New Ark SKU]],Table9[New Ark SKU],Table9[Total PCS per 40HQ Container],,0)</f>
        <v>936</v>
      </c>
      <c r="BG1160" s="432" t="str">
        <f>_xlfn.XLOOKUP(PV_DATA[[#This Row],[New Ark SKU]],Table9[New Ark SKU],Table9[Back Glass],,0)</f>
        <v>Black glazing</v>
      </c>
      <c r="BH1160" s="631" t="str">
        <f>_xlfn.XLOOKUP(PV_DATA[[#This Row],[PORT DESTINATION]],Table12[PORT DESTINATION],Table12[Cosco Line],,0)</f>
        <v>n/a</v>
      </c>
      <c r="BJ1160" s="431"/>
    </row>
    <row r="1161" spans="1:62" ht="10.5" hidden="1">
      <c r="A1161" s="729" t="s">
        <v>6934</v>
      </c>
      <c r="B1161" s="728" t="s">
        <v>1757</v>
      </c>
      <c r="C1161" s="728" t="str">
        <f>IFERROR(LEFT(PV_DATA[[#This Row],[TCL REFERENCE]],FIND(".",PV_DATA[[#This Row],[TCL REFERENCE]],1)-1),"Main Line")</f>
        <v>Main Line</v>
      </c>
      <c r="D1161" s="440" t="s">
        <v>63</v>
      </c>
      <c r="E1161" s="440" t="s">
        <v>68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0" t="s">
        <v>68</v>
      </c>
      <c r="H1161" s="440" t="s">
        <v>68</v>
      </c>
      <c r="I1161" s="440" t="s">
        <v>68</v>
      </c>
      <c r="J1161" s="432" t="s">
        <v>68</v>
      </c>
      <c r="K1161" s="621"/>
      <c r="L1161" s="621"/>
      <c r="M1161" s="431" t="s">
        <v>6273</v>
      </c>
      <c r="N1161" s="462">
        <v>46230</v>
      </c>
      <c r="O1161" s="432" t="s">
        <v>284</v>
      </c>
      <c r="P1161" s="625" t="s">
        <v>6181</v>
      </c>
      <c r="Q1161" s="621" t="s">
        <v>6182</v>
      </c>
      <c r="R1161" s="621" t="str">
        <f>_xlfn.XLOOKUP(PV_DATA[[#This Row],[New Ark SKU]],Table9[New Ark SKU],Table9[Connector],,0)</f>
        <v>EVO2A</v>
      </c>
      <c r="S1161" s="443" t="str">
        <f>_xlfn.XLOOKUP(PV_DATA[[#This Row],[New Ark SKU]],Table9[New Ark SKU],Table9[Cable],,0)</f>
        <v>±1200mm</v>
      </c>
      <c r="T1161" s="622">
        <v>490</v>
      </c>
      <c r="U1161" s="1156" cm="1">
        <f t="array" ref="U1161">1872-fx_qty</f>
        <v>0</v>
      </c>
      <c r="V1161" s="626">
        <f>PV_DATA[[#This Row],[QUANTITY]]*PV_DATA[[#This Row],[WATT]]/1000000</f>
        <v>0</v>
      </c>
      <c r="W1161" s="627">
        <f>PV_DATA[[#This Row],[QUANTITY]]/36</f>
        <v>0</v>
      </c>
      <c r="X1161" s="1114">
        <f>PV_DATA[[#This Row],[QUANTITY]]/PV_DATA[[#This Row],[Qty/CT]]</f>
        <v>0</v>
      </c>
      <c r="Y1161" s="432" t="s">
        <v>6650</v>
      </c>
      <c r="Z1161" s="431" t="str">
        <f t="shared" si="28"/>
        <v/>
      </c>
      <c r="AA1161" s="621"/>
      <c r="AB1161" s="628"/>
      <c r="AC1161" s="629" t="str">
        <f>IF(PV_DATA[[#This Row],[Pick-Up Date]]&lt;&gt;"",_xlfn.ISOWEEKNUM(PV_DATA[[#This Row],[Pick-Up Date]]),"")</f>
        <v/>
      </c>
      <c r="AD1161" s="621"/>
      <c r="AE1161" s="621"/>
      <c r="AF1161" s="621" t="s">
        <v>1525</v>
      </c>
      <c r="AG1161" s="621" t="s">
        <v>5992</v>
      </c>
      <c r="AH1161" s="432" t="s">
        <v>68</v>
      </c>
      <c r="AI1161" s="628"/>
      <c r="AJ1161" s="438" t="str">
        <f>IFERROR(VLOOKUP(AT1161, Vessel!A:D, 4, FALSE), "")</f>
        <v/>
      </c>
      <c r="AK1161" s="438" t="str">
        <f>IFERROR(IF(VLOOKUP(AT1161,Vessel!A:F,5,FALSE)=0,"",VLOOKUP(AT1161,Vessel!A:F,5,FALSE)),"")</f>
        <v/>
      </c>
      <c r="AL1161" s="628"/>
      <c r="AM1161" s="620" t="str">
        <f>IFERROR(VLOOKUP(AT1161, Vessel!A:H, 8, FALSE), "")</f>
        <v/>
      </c>
      <c r="AN1161" s="588" t="str">
        <f>IFERROR(IF(VLOOKUP(AT1161,Vessel!A:I,9,FALSE)=0,"",VLOOKUP(AT1161,Vessel!A:I,9,FALSE)),"")</f>
        <v/>
      </c>
      <c r="AO1161" s="621"/>
      <c r="AP1161" s="621"/>
      <c r="AQ1161" s="630"/>
      <c r="AR1161" s="621"/>
      <c r="AS1161" s="621"/>
      <c r="AT1161" s="621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621"/>
      <c r="AW1161" s="628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28" t="str">
        <f>IF(ISERROR(PV_DATA[[#This Row],[New Ark PO status]]),"",_xlfn.XLOOKUP(PV_DATA[[#This Row],[SPTN-PVHK New Ark PO'#]],New_Ark_Data[Purchase order Number],New_Ark_Data[Estimated time of arrival],"",0))</f>
        <v/>
      </c>
      <c r="AZ1161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628" t="str">
        <f>IFERROR(PV_DATA[[#This Row],[ODP ETA Port]]+PV_DATA[[#This Row],[Customs/Leg3 Assumption]],"n/a")</f>
        <v>n/a</v>
      </c>
      <c r="BB1161" s="622" t="e">
        <f>YEAR(PV_DATA[[#This Row],[ETA for New Ark update]])</f>
        <v>#VALUE!</v>
      </c>
      <c r="BC1161" s="621" t="e">
        <f>MONTH(PV_DATA[[#This Row],[ETA for New Ark update]])</f>
        <v>#VALUE!</v>
      </c>
      <c r="BD1161" s="621">
        <f>IFERROR(_xlfn.ISOWEEKNUM(PV_DATA[[#This Row],[ETA for New Ark update]]),0)</f>
        <v>0</v>
      </c>
      <c r="BE1161" s="621">
        <f>_xlfn.XLOOKUP(PV_DATA[[#This Row],[New Ark SKU]],Table9[New Ark SKU],Table9[Total PCS per Pallet],,0)</f>
        <v>36</v>
      </c>
      <c r="BF1161" s="621">
        <f>_xlfn.XLOOKUP(PV_DATA[[#This Row],[New Ark SKU]],Table9[New Ark SKU],Table9[Total PCS per 40HQ Container],,0)</f>
        <v>936</v>
      </c>
      <c r="BG1161" s="432" t="str">
        <f>_xlfn.XLOOKUP(PV_DATA[[#This Row],[New Ark SKU]],Table9[New Ark SKU],Table9[Back Glass],,0)</f>
        <v>Black glazing</v>
      </c>
      <c r="BH1161" s="631" t="str">
        <f>_xlfn.XLOOKUP(PV_DATA[[#This Row],[PORT DESTINATION]],Table12[PORT DESTINATION],Table12[Cosco Line],,0)</f>
        <v>n/a</v>
      </c>
      <c r="BJ1161" s="431"/>
    </row>
    <row r="1162" spans="1:62" ht="10.5" hidden="1">
      <c r="A1162" s="730" t="s">
        <v>6935</v>
      </c>
      <c r="B1162" s="440" t="s">
        <v>111</v>
      </c>
      <c r="C1162" s="440" t="str">
        <f>IFERROR(LEFT(PV_DATA[[#This Row],[TCL REFERENCE]],FIND(".",PV_DATA[[#This Row],[TCL REFERENCE]],1)-1),"Main Line")</f>
        <v>Main Line</v>
      </c>
      <c r="D1162" s="440" t="s">
        <v>63</v>
      </c>
      <c r="E1162" s="440" t="s">
        <v>68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0" t="s">
        <v>68</v>
      </c>
      <c r="H1162" s="440" t="s">
        <v>68</v>
      </c>
      <c r="I1162" s="440" t="s">
        <v>68</v>
      </c>
      <c r="J1162" s="432" t="s">
        <v>68</v>
      </c>
      <c r="K1162" s="432"/>
      <c r="L1162" s="432"/>
      <c r="M1162" s="431" t="s">
        <v>6273</v>
      </c>
      <c r="N1162" s="462">
        <v>46215</v>
      </c>
      <c r="O1162" s="432" t="s">
        <v>550</v>
      </c>
      <c r="P1162" s="431" t="s">
        <v>551</v>
      </c>
      <c r="Q1162" s="432" t="s">
        <v>2151</v>
      </c>
      <c r="R1162" s="432" t="str">
        <f>_xlfn.XLOOKUP(PV_DATA[[#This Row],[New Ark SKU]],Table9[New Ark SKU],Table9[Connector],,0)</f>
        <v>EVO2A</v>
      </c>
      <c r="S1162" s="443" t="str">
        <f>_xlfn.XLOOKUP(PV_DATA[[#This Row],[New Ark SKU]],Table9[New Ark SKU],Table9[Cable],,0)</f>
        <v>±1350mm</v>
      </c>
      <c r="T1162" s="443">
        <v>510</v>
      </c>
      <c r="U1162" s="1212" cm="1">
        <f t="array" ref="U1162">5544-fx_qty</f>
        <v>0</v>
      </c>
      <c r="V1162" s="449">
        <f>PV_DATA[[#This Row],[QUANTITY]]*PV_DATA[[#This Row],[WATT]]/1000000</f>
        <v>0</v>
      </c>
      <c r="W1162" s="467">
        <f>PV_DATA[[#This Row],[QUANTITY]]/PV_DATA[[#This Row],[Qty/Pallet]]</f>
        <v>0</v>
      </c>
      <c r="X1162" s="1114">
        <f>PV_DATA[[#This Row],[QUANTITY]]/PV_DATA[[#This Row],[Qty/CT]]</f>
        <v>0</v>
      </c>
      <c r="Y1162" s="432" t="s">
        <v>6650</v>
      </c>
      <c r="Z1162" s="431" t="str">
        <f t="shared" si="28"/>
        <v/>
      </c>
      <c r="AA1162" s="432"/>
      <c r="AB1162" s="442"/>
      <c r="AC1162" s="468" t="str">
        <f>IF(PV_DATA[[#This Row],[Pick-Up Date]]&lt;&gt;"",_xlfn.ISOWEEKNUM(PV_DATA[[#This Row],[Pick-Up Date]]),"")</f>
        <v/>
      </c>
      <c r="AD1162" s="432"/>
      <c r="AE1162" s="432"/>
      <c r="AF1162" s="432" t="s">
        <v>122</v>
      </c>
      <c r="AG1162" s="432" t="s">
        <v>123</v>
      </c>
      <c r="AH1162" s="432" t="s">
        <v>68</v>
      </c>
      <c r="AI1162" s="442"/>
      <c r="AJ1162" s="438" t="str">
        <f>IFERROR(VLOOKUP(AT1162, Vessel!A:D, 4, FALSE), "")</f>
        <v/>
      </c>
      <c r="AK1162" s="438" t="str">
        <f>IFERROR(IF(VLOOKUP(AT1162,Vessel!A:F,5,FALSE)=0,"",VLOOKUP(AT1162,Vessel!A:F,5,FALSE)),"")</f>
        <v/>
      </c>
      <c r="AL1162" s="442"/>
      <c r="AM1162" s="620" t="str">
        <f>IFERROR(VLOOKUP(AT1162, Vessel!A:H, 8, FALSE), "")</f>
        <v/>
      </c>
      <c r="AN1162" s="588" t="str">
        <f>IFERROR(IF(VLOOKUP(AT1162,Vessel!A:I,9,FALSE)=0,"",VLOOKUP(AT1162,Vessel!A:I,9,FALSE)),"")</f>
        <v/>
      </c>
      <c r="AO1162" s="432"/>
      <c r="AP1162" s="432"/>
      <c r="AQ1162" s="446"/>
      <c r="AR1162" s="432"/>
      <c r="AS1162" s="432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2"/>
      <c r="AW1162" s="442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>
        <f>IF(ISERROR(PV_DATA[[#This Row],[New Ark PO status]]),"",_xlfn.XLOOKUP(PV_DATA[[#This Row],[SPTN-PVHK New Ark PO'#]],New_Ark_Data[Purchase order Number],New_Ark_Data[Estimated time of arrival],"",0))</f>
        <v>0</v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2" t="str">
        <f>IFERROR(PV_DATA[[#This Row],[ODP ETA Port]]+PV_DATA[[#This Row],[Customs/Leg3 Assumption]],"n/a")</f>
        <v>n/a</v>
      </c>
      <c r="BB1162" s="443" t="e">
        <f>YEAR(PV_DATA[[#This Row],[ETA for New Ark update]])</f>
        <v>#VALUE!</v>
      </c>
      <c r="BC1162" s="432" t="e">
        <f>MONTH(PV_DATA[[#This Row],[ETA for New Ark update]])</f>
        <v>#VALUE!</v>
      </c>
      <c r="BD1162" s="432">
        <f>IFERROR(_xlfn.ISOWEEKNUM(PV_DATA[[#This Row],[ETA for New Ark update]]),0)</f>
        <v>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792</v>
      </c>
      <c r="BG1162" s="432" t="str">
        <f>_xlfn.XLOOKUP(PV_DATA[[#This Row],[New Ark SKU]],Table9[New Ark SKU],Table9[Back Glass],,0)</f>
        <v>Black glazing</v>
      </c>
      <c r="BH1162" s="624" t="str">
        <f>_xlfn.XLOOKUP(PV_DATA[[#This Row],[PORT DESTINATION]],Table12[PORT DESTINATION],Table12[Cosco Line],,0)</f>
        <v>n/a</v>
      </c>
      <c r="BJ1162" s="431"/>
    </row>
    <row r="1163" spans="1:62" ht="10.5" hidden="1">
      <c r="A1163" s="730" t="s">
        <v>6936</v>
      </c>
      <c r="B1163" s="728" t="s">
        <v>111</v>
      </c>
      <c r="C1163" s="440" t="str">
        <f>IFERROR(LEFT(PV_DATA[[#This Row],[TCL REFERENCE]],FIND(".",PV_DATA[[#This Row],[TCL REFERENCE]],1)-1),"Main Line")</f>
        <v>Main Line</v>
      </c>
      <c r="D1163" s="440" t="s">
        <v>63</v>
      </c>
      <c r="E1163" s="440" t="s">
        <v>68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68</v>
      </c>
      <c r="H1163" s="440" t="s">
        <v>68</v>
      </c>
      <c r="I1163" s="440" t="s">
        <v>68</v>
      </c>
      <c r="J1163" s="432" t="s">
        <v>68</v>
      </c>
      <c r="K1163" s="432"/>
      <c r="L1163" s="432"/>
      <c r="M1163" s="431" t="s">
        <v>6273</v>
      </c>
      <c r="N1163" s="462">
        <v>46215</v>
      </c>
      <c r="O1163" s="621" t="s">
        <v>550</v>
      </c>
      <c r="P1163" s="625" t="s">
        <v>2134</v>
      </c>
      <c r="Q1163" s="621" t="s">
        <v>2135</v>
      </c>
      <c r="R1163" s="621" t="str">
        <f>_xlfn.XLOOKUP(PV_DATA[[#This Row],[New Ark SKU]],Table9[New Ark SKU],Table9[Connector],,0)</f>
        <v>EVO2A</v>
      </c>
      <c r="S1163" s="443" t="str">
        <f>_xlfn.XLOOKUP(PV_DATA[[#This Row],[New Ark SKU]],Table9[New Ark SKU],Table9[Cable],,0)</f>
        <v>±1350mm</v>
      </c>
      <c r="T1163" s="622">
        <v>515</v>
      </c>
      <c r="U1163" s="1156" cm="1">
        <f t="array" ref="U1163">14256-fx_qty</f>
        <v>0</v>
      </c>
      <c r="V1163" s="626">
        <f>PV_DATA[[#This Row],[QUANTITY]]*PV_DATA[[#This Row],[WATT]]/1000000</f>
        <v>0</v>
      </c>
      <c r="W1163" s="627">
        <f>PV_DATA[[#This Row],[QUANTITY]]/PV_DATA[[#This Row],[Qty/Pallet]]</f>
        <v>0</v>
      </c>
      <c r="X1163" s="1114">
        <f>PV_DATA[[#This Row],[QUANTITY]]/PV_DATA[[#This Row],[Qty/CT]]</f>
        <v>0</v>
      </c>
      <c r="Y1163" s="432" t="s">
        <v>6650</v>
      </c>
      <c r="Z1163" s="431" t="str">
        <f t="shared" si="28"/>
        <v/>
      </c>
      <c r="AA1163" s="621"/>
      <c r="AB1163" s="628"/>
      <c r="AC1163" s="629" t="str">
        <f>IF(PV_DATA[[#This Row],[Pick-Up Date]]&lt;&gt;"",_xlfn.ISOWEEKNUM(PV_DATA[[#This Row],[Pick-Up Date]]),"")</f>
        <v/>
      </c>
      <c r="AD1163" s="621"/>
      <c r="AE1163" s="621"/>
      <c r="AF1163" s="621" t="s">
        <v>122</v>
      </c>
      <c r="AG1163" s="621" t="s">
        <v>123</v>
      </c>
      <c r="AH1163" s="432" t="s">
        <v>68</v>
      </c>
      <c r="AI1163" s="628"/>
      <c r="AJ1163" s="438" t="str">
        <f>IFERROR(VLOOKUP(AT1163, Vessel!A:D, 4, FALSE), "")</f>
        <v/>
      </c>
      <c r="AK1163" s="438" t="str">
        <f>IFERROR(IF(VLOOKUP(AT1163,Vessel!A:F,5,FALSE)=0,"",VLOOKUP(AT1163,Vessel!A:F,5,FALSE)),"")</f>
        <v/>
      </c>
      <c r="AL1163" s="628"/>
      <c r="AM1163" s="620" t="str">
        <f>IFERROR(VLOOKUP(AT1163, Vessel!A:H, 8, FALSE), "")</f>
        <v/>
      </c>
      <c r="AN1163" s="588" t="str">
        <f>IFERROR(IF(VLOOKUP(AT1163,Vessel!A:I,9,FALSE)=0,"",VLOOKUP(AT1163,Vessel!A:I,9,FALSE)),"")</f>
        <v/>
      </c>
      <c r="AO1163" s="621"/>
      <c r="AP1163" s="621"/>
      <c r="AQ1163" s="630"/>
      <c r="AR1163" s="621"/>
      <c r="AS1163" s="621"/>
      <c r="AT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1"/>
      <c r="AW1163" s="628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28">
        <f>IF(ISERROR(PV_DATA[[#This Row],[New Ark PO status]]),"",_xlfn.XLOOKUP(PV_DATA[[#This Row],[SPTN-PVHK New Ark PO'#]],New_Ark_Data[Purchase order Number],New_Ark_Data[Estimated time of arrival],"",0))</f>
        <v>0</v>
      </c>
      <c r="AZ1163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28" t="str">
        <f>IFERROR(PV_DATA[[#This Row],[ODP ETA Port]]+PV_DATA[[#This Row],[Customs/Leg3 Assumption]],"n/a")</f>
        <v>n/a</v>
      </c>
      <c r="BB1163" s="443" t="s">
        <v>6273</v>
      </c>
      <c r="BC1163" s="443" t="s">
        <v>6273</v>
      </c>
      <c r="BD1163" s="621">
        <f>IFERROR(_xlfn.ISOWEEKNUM(PV_DATA[[#This Row],[ETA for New Ark update]]),0)</f>
        <v>0</v>
      </c>
      <c r="BE1163" s="621">
        <f>_xlfn.XLOOKUP(PV_DATA[[#This Row],[New Ark SKU]],Table9[New Ark SKU],Table9[Total PCS per Pallet],,0)</f>
        <v>36</v>
      </c>
      <c r="BF1163" s="621">
        <f>_xlfn.XLOOKUP(PV_DATA[[#This Row],[New Ark SKU]],Table9[New Ark SKU],Table9[Total PCS per 40HQ Container],,0)</f>
        <v>792</v>
      </c>
      <c r="BG1163" s="432" t="str">
        <f>_xlfn.XLOOKUP(PV_DATA[[#This Row],[New Ark SKU]],Table9[New Ark SKU],Table9[Back Glass],,0)</f>
        <v>Black glazing</v>
      </c>
      <c r="BH1163" s="631" t="str">
        <f>_xlfn.XLOOKUP(PV_DATA[[#This Row],[PORT DESTINATION]],Table12[PORT DESTINATION],Table12[Cosco Line],,0)</f>
        <v>n/a</v>
      </c>
      <c r="BJ1163" s="431"/>
    </row>
    <row r="1164" spans="1:62" ht="10.5" hidden="1">
      <c r="A1164" s="730" t="s">
        <v>6937</v>
      </c>
      <c r="B1164" s="440" t="s">
        <v>61</v>
      </c>
      <c r="C1164" s="440" t="str">
        <f>IFERROR(LEFT(PV_DATA[[#This Row],[TCL REFERENCE]],FIND(".",PV_DATA[[#This Row],[TCL REFERENCE]],1)-1),"Main Line")</f>
        <v>Main Line</v>
      </c>
      <c r="D1164" s="440" t="s">
        <v>63</v>
      </c>
      <c r="E1164" s="440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0" t="s">
        <v>68</v>
      </c>
      <c r="H1164" s="440" t="s">
        <v>68</v>
      </c>
      <c r="I1164" s="440" t="s">
        <v>68</v>
      </c>
      <c r="J1164" s="432" t="s">
        <v>68</v>
      </c>
      <c r="K1164" s="432"/>
      <c r="L1164" s="432"/>
      <c r="M1164" s="431" t="s">
        <v>6273</v>
      </c>
      <c r="N1164" s="462">
        <v>46237</v>
      </c>
      <c r="O1164" s="432" t="s">
        <v>4526</v>
      </c>
      <c r="P1164" s="431" t="s">
        <v>71</v>
      </c>
      <c r="Q1164" s="432" t="s">
        <v>72</v>
      </c>
      <c r="R1164" s="432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443">
        <v>500</v>
      </c>
      <c r="U1164" s="1212" cm="1">
        <f t="array" ref="U1164">36288-fx_qty</f>
        <v>2592</v>
      </c>
      <c r="V1164" s="449">
        <f>PV_DATA[[#This Row],[QUANTITY]]*PV_DATA[[#This Row],[WATT]]/1000000</f>
        <v>1.296</v>
      </c>
      <c r="W1164" s="467">
        <f>PV_DATA[[#This Row],[QUANTITY]]/PV_DATA[[#This Row],[Qty/Pallet]]</f>
        <v>72</v>
      </c>
      <c r="X1164" s="1114">
        <f>PV_DATA[[#This Row],[QUANTITY]]/PV_DATA[[#This Row],[Qty/CT]]</f>
        <v>3</v>
      </c>
      <c r="Y1164" s="432" t="s">
        <v>6650</v>
      </c>
      <c r="Z1164" s="432" t="str">
        <f t="shared" si="28"/>
        <v/>
      </c>
      <c r="AA1164" s="432"/>
      <c r="AB1164" s="442"/>
      <c r="AC1164" s="468" t="str">
        <f>IF(PV_DATA[[#This Row],[Pick-Up Date]]&lt;&gt;"",_xlfn.ISOWEEKNUM(PV_DATA[[#This Row],[Pick-Up Date]]),"")</f>
        <v/>
      </c>
      <c r="AD1164" s="432"/>
      <c r="AE1164" s="432"/>
      <c r="AF1164" s="448" t="s">
        <v>61</v>
      </c>
      <c r="AG1164" s="448" t="s">
        <v>61</v>
      </c>
      <c r="AH1164" s="432" t="s">
        <v>68</v>
      </c>
      <c r="AI1164" s="442"/>
      <c r="AJ1164" s="438" t="str">
        <f>IFERROR(VLOOKUP(AT1164, Vessel!A:D, 4, FALSE), "")</f>
        <v/>
      </c>
      <c r="AK1164" s="438" t="str">
        <f>IFERROR(IF(VLOOKUP(AT1164,Vessel!A:F,5,FALSE)=0,"",VLOOKUP(AT1164,Vessel!A:F,5,FALSE)),"")</f>
        <v/>
      </c>
      <c r="AL1164" s="442"/>
      <c r="AM1164" s="620" t="str">
        <f>IFERROR(VLOOKUP(AT1164, Vessel!A:H, 8, FALSE), "")</f>
        <v/>
      </c>
      <c r="AN1164" s="588" t="str">
        <f>IFERROR(IF(VLOOKUP(AT1164,Vessel!A:I,9,FALSE)=0,"",VLOOKUP(AT1164,Vessel!A:I,9,FALSE)),"")</f>
        <v/>
      </c>
      <c r="AO1164" s="432"/>
      <c r="AP1164" s="432"/>
      <c r="AQ1164" s="446"/>
      <c r="AR1164" s="432"/>
      <c r="AS1164" s="432"/>
      <c r="AT1164" s="432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2"/>
      <c r="AW1164" s="442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2">
        <f>IF(ISERROR(PV_DATA[[#This Row],[New Ark PO status]]),"",_xlfn.XLOOKUP(PV_DATA[[#This Row],[SPTN-PVHK New Ark PO'#]],New_Ark_Data[Purchase order Number],New_Ark_Data[Estimated time of arrival],"",0))</f>
        <v>0</v>
      </c>
      <c r="AZ116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2" t="str">
        <f>IFERROR(PV_DATA[[#This Row],[ODP ETA Port]]+PV_DATA[[#This Row],[Customs/Leg3 Assumption]],"n/a")</f>
        <v>n/a</v>
      </c>
      <c r="BB1164" s="443" t="s">
        <v>6273</v>
      </c>
      <c r="BC1164" s="443" t="s">
        <v>6273</v>
      </c>
      <c r="BD1164" s="432">
        <f>IFERROR(_xlfn.ISOWEEKNUM(PV_DATA[[#This Row],[ETA for New Ark update]]),0)</f>
        <v>0</v>
      </c>
      <c r="BE1164" s="432">
        <f>_xlfn.XLOOKUP(PV_DATA[[#This Row],[New Ark SKU]],Table9[New Ark SKU],Table9[Total PCS per Pallet],,0)</f>
        <v>36</v>
      </c>
      <c r="BF1164" s="432">
        <f>_xlfn.XLOOKUP(PV_DATA[[#This Row],[New Ark SKU]],Table9[New Ark SKU],Table9[Total PCS per 40HQ Container],,0)</f>
        <v>864</v>
      </c>
      <c r="BG1164" s="432" t="str">
        <f>_xlfn.XLOOKUP(PV_DATA[[#This Row],[New Ark SKU]],Table9[New Ark SKU],Table9[Back Glass],,0)</f>
        <v>Black glazing</v>
      </c>
      <c r="BH1164" s="624" t="str">
        <f>_xlfn.XLOOKUP(PV_DATA[[#This Row],[PORT DESTINATION]],Table12[PORT DESTINATION],Table12[Cosco Line],,0)</f>
        <v>n/a</v>
      </c>
      <c r="BJ1164" s="431"/>
    </row>
    <row r="1165" spans="1:62" ht="10.5" hidden="1">
      <c r="A1165" s="730" t="s">
        <v>6938</v>
      </c>
      <c r="B1165" s="440" t="s">
        <v>6661</v>
      </c>
      <c r="C1165" s="440" t="str">
        <f>IFERROR(LEFT(PV_DATA[[#This Row],[TCL REFERENCE]],FIND(".",PV_DATA[[#This Row],[TCL REFERENCE]],1)-1),"Main Line")</f>
        <v>26Aug003</v>
      </c>
      <c r="D1165" s="440" t="s">
        <v>63</v>
      </c>
      <c r="E1165" s="440" t="s">
        <v>144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0" t="s">
        <v>402</v>
      </c>
      <c r="H1165" s="440" t="s">
        <v>2394</v>
      </c>
      <c r="I1165" s="463" t="s">
        <v>1395</v>
      </c>
      <c r="J1165" s="440" t="s">
        <v>2394</v>
      </c>
      <c r="K1165" s="432"/>
      <c r="L1165" s="432"/>
      <c r="M1165" s="431" t="s">
        <v>5943</v>
      </c>
      <c r="N1165" s="462">
        <v>46237</v>
      </c>
      <c r="O1165" s="432" t="s">
        <v>4526</v>
      </c>
      <c r="P1165" s="431" t="s">
        <v>71</v>
      </c>
      <c r="Q1165" s="432" t="s">
        <v>72</v>
      </c>
      <c r="R1165" s="432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443">
        <v>500</v>
      </c>
      <c r="U1165" s="1212">
        <f>864*5</f>
        <v>4320</v>
      </c>
      <c r="V1165" s="449">
        <f>PV_DATA[[#This Row],[QUANTITY]]*PV_DATA[[#This Row],[WATT]]/1000000</f>
        <v>2.16</v>
      </c>
      <c r="W1165" s="467">
        <f>PV_DATA[[#This Row],[QUANTITY]]/PV_DATA[[#This Row],[Qty/Pallet]]</f>
        <v>120</v>
      </c>
      <c r="X1165" s="1114">
        <f>PV_DATA[[#This Row],[QUANTITY]]/PV_DATA[[#This Row],[Qty/CT]]</f>
        <v>5</v>
      </c>
      <c r="Y1165" s="432" t="s">
        <v>2470</v>
      </c>
      <c r="Z1165" s="432" t="str">
        <f>IF(AN1165&lt;&gt;"","COMPLETED",IF(AK1165&lt;&gt;"","IN-TRANSIT",""))</f>
        <v/>
      </c>
      <c r="AA1165" s="1075" t="s">
        <v>6939</v>
      </c>
      <c r="AB1165" s="442"/>
      <c r="AC1165" s="468" t="str">
        <f>IF(PV_DATA[[#This Row],[Pick-Up Date]]&lt;&gt;"",_xlfn.ISOWEEKNUM(PV_DATA[[#This Row],[Pick-Up Date]]),"")</f>
        <v/>
      </c>
      <c r="AD1165" s="432"/>
      <c r="AE1165" s="432"/>
      <c r="AF1165" s="448" t="s">
        <v>123</v>
      </c>
      <c r="AG1165" s="448" t="s">
        <v>123</v>
      </c>
      <c r="AH1165" s="432" t="s">
        <v>888</v>
      </c>
      <c r="AI1165" s="442">
        <v>46294</v>
      </c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442">
        <v>46344</v>
      </c>
      <c r="AM1165" s="620" t="str">
        <f>IFERROR(VLOOKUP(AT1165, Vessel!A:H, 8, FALSE), "")</f>
        <v/>
      </c>
      <c r="AN1165" s="588" t="str">
        <f>IFERROR(IF(VLOOKUP(AT1165,Vessel!A:I,9,FALSE)=0,"",VLOOKUP(AT1165,Vessel!A:I,9,FALSE)),"")</f>
        <v/>
      </c>
      <c r="AO1165" s="432"/>
      <c r="AP1165" s="432" t="s">
        <v>6940</v>
      </c>
      <c r="AQ1165" s="446" t="s">
        <v>80</v>
      </c>
      <c r="AR1165" s="432"/>
      <c r="AS1165" s="432" t="s">
        <v>6941</v>
      </c>
      <c r="AT1165" s="432" t="s">
        <v>6941</v>
      </c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165" s="432"/>
      <c r="AW1165" s="442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2">
        <f>IF(ISERROR(PV_DATA[[#This Row],[New Ark PO status]]),"",_xlfn.XLOOKUP(PV_DATA[[#This Row],[SPTN-PVHK New Ark PO'#]],New_Ark_Data[Purchase order Number],New_Ark_Data[Estimated time of arrival],"",0))</f>
        <v>0</v>
      </c>
      <c r="AZ11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2">
        <f>IFERROR(PV_DATA[[#This Row],[ODP ETA Port]]+PV_DATA[[#This Row],[Customs/Leg3 Assumption]],"n/a")</f>
        <v>46344</v>
      </c>
      <c r="BB1165" s="443" t="s">
        <v>6273</v>
      </c>
      <c r="BC1165" s="443" t="s">
        <v>6273</v>
      </c>
      <c r="BD1165" s="432">
        <f>IFERROR(_xlfn.ISOWEEKNUM(PV_DATA[[#This Row],[ETA for New Ark update]]),0)</f>
        <v>47</v>
      </c>
      <c r="BE1165" s="432">
        <f>_xlfn.XLOOKUP(PV_DATA[[#This Row],[New Ark SKU]],Table9[New Ark SKU],Table9[Total PCS per Pallet],,0)</f>
        <v>36</v>
      </c>
      <c r="BF1165" s="432">
        <f>_xlfn.XLOOKUP(PV_DATA[[#This Row],[New Ark SKU]],Table9[New Ark SKU],Table9[Total PCS per 40HQ Container],,0)</f>
        <v>864</v>
      </c>
      <c r="BG1165" s="432" t="str">
        <f>_xlfn.XLOOKUP(PV_DATA[[#This Row],[New Ark SKU]],Table9[New Ark SKU],Table9[Back Glass],,0)</f>
        <v>Black glazing</v>
      </c>
      <c r="BH1165" s="624" t="str">
        <f>_xlfn.XLOOKUP(PV_DATA[[#This Row],[PORT DESTINATION]],Table12[PORT DESTINATION],Table12[Cosco Line],,0)</f>
        <v>AEU</v>
      </c>
      <c r="BJ1165" s="431"/>
    </row>
    <row r="1166" spans="1:62" ht="10.5" hidden="1">
      <c r="A1166" s="730" t="s">
        <v>6942</v>
      </c>
      <c r="B1166" s="440" t="s">
        <v>61</v>
      </c>
      <c r="C1166" s="440" t="str">
        <f>IFERROR(LEFT(PV_DATA[[#This Row],[TCL REFERENCE]],FIND(".",PV_DATA[[#This Row],[TCL REFERENCE]],1)-1),"Main Line")</f>
        <v>26Aug003</v>
      </c>
      <c r="D1166" s="440" t="s">
        <v>63</v>
      </c>
      <c r="E1166" s="440" t="s">
        <v>144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0" t="s">
        <v>402</v>
      </c>
      <c r="H1166" s="440" t="s">
        <v>2394</v>
      </c>
      <c r="I1166" s="463" t="s">
        <v>1395</v>
      </c>
      <c r="J1166" s="440" t="s">
        <v>2394</v>
      </c>
      <c r="K1166" s="432"/>
      <c r="L1166" s="432"/>
      <c r="M1166" s="431" t="s">
        <v>5943</v>
      </c>
      <c r="N1166" s="462">
        <v>46237</v>
      </c>
      <c r="O1166" s="432" t="s">
        <v>4526</v>
      </c>
      <c r="P1166" s="431" t="s">
        <v>71</v>
      </c>
      <c r="Q1166" s="432" t="s">
        <v>72</v>
      </c>
      <c r="R1166" s="432" t="str">
        <f>_xlfn.XLOOKUP(PV_DATA[[#This Row],[New Ark SKU]],Table9[New Ark SKU],Table9[Connector],,0)</f>
        <v>EVO2A</v>
      </c>
      <c r="S1166" s="443" t="str">
        <f>_xlfn.XLOOKUP(PV_DATA[[#This Row],[New Ark SKU]],Table9[New Ark SKU],Table9[Cable],,0)</f>
        <v>±1200mm</v>
      </c>
      <c r="T1166" s="443">
        <v>500</v>
      </c>
      <c r="U1166" s="1212">
        <f>864*3</f>
        <v>2592</v>
      </c>
      <c r="V1166" s="449">
        <f>PV_DATA[[#This Row],[QUANTITY]]*PV_DATA[[#This Row],[WATT]]/1000000</f>
        <v>1.296</v>
      </c>
      <c r="W1166" s="467">
        <f>PV_DATA[[#This Row],[QUANTITY]]/PV_DATA[[#This Row],[Qty/Pallet]]</f>
        <v>72</v>
      </c>
      <c r="X1166" s="1114">
        <f>PV_DATA[[#This Row],[QUANTITY]]/PV_DATA[[#This Row],[Qty/CT]]</f>
        <v>3</v>
      </c>
      <c r="Y1166" s="432" t="s">
        <v>2470</v>
      </c>
      <c r="Z1166" s="432" t="str">
        <f>IF(AN1166&lt;&gt;"","COMPLETED",IF(AK1166&lt;&gt;"","IN-TRANSIT",""))</f>
        <v/>
      </c>
      <c r="AA1166" s="1075" t="s">
        <v>6663</v>
      </c>
      <c r="AB1166" s="442"/>
      <c r="AC1166" s="468" t="str">
        <f>IF(PV_DATA[[#This Row],[Pick-Up Date]]&lt;&gt;"",_xlfn.ISOWEEKNUM(PV_DATA[[#This Row],[Pick-Up Date]]),"")</f>
        <v/>
      </c>
      <c r="AD1166" s="432"/>
      <c r="AE1166" s="432"/>
      <c r="AF1166" s="448" t="s">
        <v>61</v>
      </c>
      <c r="AG1166" s="448" t="s">
        <v>61</v>
      </c>
      <c r="AH1166" s="432" t="s">
        <v>888</v>
      </c>
      <c r="AI1166" s="442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L1166" s="442"/>
      <c r="AM1166" s="620" t="str">
        <f>IFERROR(VLOOKUP(AT1166, Vessel!A:H, 8, FALSE), "")</f>
        <v/>
      </c>
      <c r="AN1166" s="588" t="str">
        <f>IFERROR(IF(VLOOKUP(AT1166,Vessel!A:I,9,FALSE)=0,"",VLOOKUP(AT1166,Vessel!A:I,9,FALSE)),"")</f>
        <v/>
      </c>
      <c r="AO1166" s="432"/>
      <c r="AP1166" s="432"/>
      <c r="AQ1166" s="446"/>
      <c r="AR1166" s="432" t="s">
        <v>6943</v>
      </c>
      <c r="AS1166" s="432"/>
      <c r="AT1166" s="432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2"/>
      <c r="AW1166" s="442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2">
        <f>IF(ISERROR(PV_DATA[[#This Row],[New Ark PO status]]),"",_xlfn.XLOOKUP(PV_DATA[[#This Row],[SPTN-PVHK New Ark PO'#]],New_Ark_Data[Purchase order Number],New_Ark_Data[Estimated time of arrival],"",0))</f>
        <v>0</v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2">
        <f>IFERROR(PV_DATA[[#This Row],[ODP ETA Port]]+PV_DATA[[#This Row],[Customs/Leg3 Assumption]],"n/a")</f>
        <v>46367</v>
      </c>
      <c r="BB1166" s="443" t="s">
        <v>6531</v>
      </c>
      <c r="BC1166" s="443" t="s">
        <v>6531</v>
      </c>
      <c r="BD1166" s="432">
        <f>IFERROR(_xlfn.ISOWEEKNUM(PV_DATA[[#This Row],[ETA for New Ark update]]),0)</f>
        <v>50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864</v>
      </c>
      <c r="BG1166" s="432" t="str">
        <f>_xlfn.XLOOKUP(PV_DATA[[#This Row],[New Ark SKU]],Table9[New Ark SKU],Table9[Back Glass],,0)</f>
        <v>Black glazing</v>
      </c>
      <c r="BH1166" s="624" t="str">
        <f>_xlfn.XLOOKUP(PV_DATA[[#This Row],[PORT DESTINATION]],Table12[PORT DESTINATION],Table12[Cosco Line],,0)</f>
        <v>AEU</v>
      </c>
      <c r="BJ1166" s="431"/>
    </row>
    <row r="1167" spans="1:62" s="860" customFormat="1" ht="10.5" hidden="1">
      <c r="A1167" s="730" t="s">
        <v>6944</v>
      </c>
      <c r="B1167" s="440" t="s">
        <v>111</v>
      </c>
      <c r="C1167" s="440" t="str">
        <f>IFERROR(LEFT(PV_DATA[[#This Row],[TCL REFERENCE]],FIND(".",PV_DATA[[#This Row],[TCL REFERENCE]],1)-1),"Main Line")</f>
        <v>26Aug002</v>
      </c>
      <c r="D1167" s="440" t="s">
        <v>63</v>
      </c>
      <c r="E1167" s="440" t="s">
        <v>64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40" t="s">
        <v>402</v>
      </c>
      <c r="H1167" s="440" t="s">
        <v>67</v>
      </c>
      <c r="I1167" s="440" t="s">
        <v>689</v>
      </c>
      <c r="J1167" s="432" t="s">
        <v>96</v>
      </c>
      <c r="K1167" s="432"/>
      <c r="L1167" s="432"/>
      <c r="M1167" s="431" t="s">
        <v>6273</v>
      </c>
      <c r="N1167" s="462">
        <v>46215</v>
      </c>
      <c r="O1167" s="432" t="s">
        <v>550</v>
      </c>
      <c r="P1167" s="431" t="s">
        <v>2134</v>
      </c>
      <c r="Q1167" s="432" t="s">
        <v>2135</v>
      </c>
      <c r="R1167" s="432" t="str">
        <f>_xlfn.XLOOKUP(PV_DATA[[#This Row],[New Ark SKU]],Table9[New Ark SKU],Table9[Connector],,0)</f>
        <v>EVO2A</v>
      </c>
      <c r="S1167" s="443" t="str">
        <f>_xlfn.XLOOKUP(PV_DATA[[#This Row],[New Ark SKU]],Table9[New Ark SKU],Table9[Cable],,0)</f>
        <v>±1350mm</v>
      </c>
      <c r="T1167" s="443">
        <v>515</v>
      </c>
      <c r="U1167" s="1212">
        <v>792</v>
      </c>
      <c r="V1167" s="449">
        <f>PV_DATA[[#This Row],[QUANTITY]]*PV_DATA[[#This Row],[WATT]]/1000000</f>
        <v>0.40788000000000002</v>
      </c>
      <c r="W1167" s="467">
        <f>PV_DATA[[#This Row],[QUANTITY]]/PV_DATA[[#This Row],[Qty/Pallet]]</f>
        <v>22</v>
      </c>
      <c r="X1167" s="1114">
        <f>PV_DATA[[#This Row],[QUANTITY]]/PV_DATA[[#This Row],[Qty/CT]]</f>
        <v>1</v>
      </c>
      <c r="Y1167" s="432" t="s">
        <v>2468</v>
      </c>
      <c r="Z1167" s="432" t="str">
        <f t="shared" ref="Z1167" si="29">IF(AN1167&lt;&gt;"","COMPLETED",IF(AK1167&lt;&gt;"","IN-TRANSIT",""))</f>
        <v/>
      </c>
      <c r="AA1167" s="621"/>
      <c r="AB1167" s="442"/>
      <c r="AC1167" s="468" t="str">
        <f>IF(PV_DATA[[#This Row],[Pick-Up Date]]&lt;&gt;"",_xlfn.ISOWEEKNUM(PV_DATA[[#This Row],[Pick-Up Date]]),"")</f>
        <v/>
      </c>
      <c r="AD1167" s="432"/>
      <c r="AE1167" s="432"/>
      <c r="AF1167" s="432" t="s">
        <v>122</v>
      </c>
      <c r="AG1167" s="432" t="s">
        <v>123</v>
      </c>
      <c r="AH1167" s="432" t="s">
        <v>105</v>
      </c>
      <c r="AI1167" s="442"/>
      <c r="AJ1167" s="438" t="str">
        <f>IFERROR(VLOOKUP(AT1167, Vessel!A:D, 4, FALSE), "")</f>
        <v/>
      </c>
      <c r="AK1167" s="438" t="str">
        <f>IFERROR(IF(VLOOKUP(AT1167,Vessel!A:F,5,FALSE)=0,"",VLOOKUP(AT1167,Vessel!A:F,5,FALSE)),"")</f>
        <v/>
      </c>
      <c r="AL1167" s="442"/>
      <c r="AM1167" s="620" t="str">
        <f>IFERROR(VLOOKUP(AT1167, Vessel!A:H, 8, FALSE), "")</f>
        <v/>
      </c>
      <c r="AN1167" s="588" t="str">
        <f>IFERROR(IF(VLOOKUP(AT1167,Vessel!A:I,9,FALSE)=0,"",VLOOKUP(AT1167,Vessel!A:I,9,FALSE)),"")</f>
        <v/>
      </c>
      <c r="AO1167" s="432"/>
      <c r="AP1167" s="432"/>
      <c r="AQ1167" s="446" t="s">
        <v>161</v>
      </c>
      <c r="AR1167" s="432"/>
      <c r="AS1167" s="432"/>
      <c r="AT1167" s="432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2"/>
      <c r="AW1167" s="442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2">
        <f>IF(ISERROR(PV_DATA[[#This Row],[New Ark PO status]]),"",_xlfn.XLOOKUP(PV_DATA[[#This Row],[SPTN-PVHK New Ark PO'#]],New_Ark_Data[Purchase order Number],New_Ark_Data[Estimated time of arrival],"",0))</f>
        <v>0</v>
      </c>
      <c r="AZ11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442">
        <f>IFERROR(PV_DATA[[#This Row],[ODP ETA Port]]+PV_DATA[[#This Row],[Customs/Leg3 Assumption]],"n/a")</f>
        <v>46339</v>
      </c>
      <c r="BB1167" s="443" t="s">
        <v>6273</v>
      </c>
      <c r="BC1167" s="443" t="s">
        <v>6273</v>
      </c>
      <c r="BD1167" s="432">
        <f>IFERROR(_xlfn.ISOWEEKNUM(PV_DATA[[#This Row],[ETA for New Ark update]]),0)</f>
        <v>46</v>
      </c>
      <c r="BE1167" s="432">
        <f>_xlfn.XLOOKUP(PV_DATA[[#This Row],[New Ark SKU]],Table9[New Ark SKU],Table9[Total PCS per Pallet],,0)</f>
        <v>36</v>
      </c>
      <c r="BF1167" s="432">
        <f>_xlfn.XLOOKUP(PV_DATA[[#This Row],[New Ark SKU]],Table9[New Ark SKU],Table9[Total PCS per 40HQ Container],,0)</f>
        <v>792</v>
      </c>
      <c r="BG1167" s="432" t="str">
        <f>_xlfn.XLOOKUP(PV_DATA[[#This Row],[New Ark SKU]],Table9[New Ark SKU],Table9[Back Glass],,0)</f>
        <v>Black glazing</v>
      </c>
      <c r="BH1167" s="624" t="str">
        <f>_xlfn.XLOOKUP(PV_DATA[[#This Row],[PORT DESTINATION]],Table12[PORT DESTINATION],Table12[Cosco Line],,0)</f>
        <v>AEU</v>
      </c>
    </row>
    <row r="1168" spans="1:62" s="432" customFormat="1" ht="10.5" hidden="1">
      <c r="A1168" s="730" t="s">
        <v>6945</v>
      </c>
      <c r="B1168" s="440" t="s">
        <v>61</v>
      </c>
      <c r="C1168" s="440" t="str">
        <f>IFERROR(LEFT(PV_DATA[[#This Row],[TCL REFERENCE]],FIND(".",PV_DATA[[#This Row],[TCL REFERENCE]],1)-1),"Main Line")</f>
        <v>Main Line</v>
      </c>
      <c r="D1168" s="440" t="s">
        <v>63</v>
      </c>
      <c r="E1168" s="440" t="s">
        <v>68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0" t="s">
        <v>68</v>
      </c>
      <c r="H1168" s="440" t="s">
        <v>68</v>
      </c>
      <c r="I1168" s="440" t="s">
        <v>68</v>
      </c>
      <c r="J1168" s="432" t="s">
        <v>68</v>
      </c>
      <c r="M1168" s="431" t="s">
        <v>6273</v>
      </c>
      <c r="N1168" s="462">
        <v>46237</v>
      </c>
      <c r="O1168" s="432" t="s">
        <v>4526</v>
      </c>
      <c r="P1168" s="432" t="s">
        <v>1151</v>
      </c>
      <c r="Q1168" s="432" t="s">
        <v>421</v>
      </c>
      <c r="R1168" s="432" t="str">
        <f>_xlfn.XLOOKUP(PV_DATA[[#This Row],[New Ark SKU]],Table9[New Ark SKU],Table9[Connector],,0)</f>
        <v>EVO2A</v>
      </c>
      <c r="S1168" s="443" t="str">
        <f>_xlfn.XLOOKUP(PV_DATA[[#This Row],[New Ark SKU]],Table9[New Ark SKU],Table9[Cable],,0)</f>
        <v>±1200mm</v>
      </c>
      <c r="T1168" s="443">
        <v>505</v>
      </c>
      <c r="U1168" s="1212" cm="1">
        <f t="array" ref="U1168">23328-fx_qty</f>
        <v>0</v>
      </c>
      <c r="V1168" s="449">
        <f>PV_DATA[[#This Row],[QUANTITY]]*PV_DATA[[#This Row],[WATT]]/1000000</f>
        <v>0</v>
      </c>
      <c r="W1168" s="467">
        <f>PV_DATA[[#This Row],[QUANTITY]]/PV_DATA[[#This Row],[Qty/Pallet]]</f>
        <v>0</v>
      </c>
      <c r="X1168" s="1114">
        <f>PV_DATA[[#This Row],[QUANTITY]]/PV_DATA[[#This Row],[Qty/CT]]</f>
        <v>0</v>
      </c>
      <c r="Y1168" s="432" t="s">
        <v>6650</v>
      </c>
      <c r="Z1168" s="432" t="str">
        <f t="shared" ref="Z1168:Z1189" si="30">IF(AN1168&lt;&gt;"","COMPLETED",IF(AK1168&lt;&gt;"","IN-TRANSIT",""))</f>
        <v/>
      </c>
      <c r="AA1168" s="432" t="s">
        <v>6373</v>
      </c>
      <c r="AB1168" s="442"/>
      <c r="AC1168" s="468" t="str">
        <f>IF(PV_DATA[[#This Row],[Pick-Up Date]]&lt;&gt;"",_xlfn.ISOWEEKNUM(PV_DATA[[#This Row],[Pick-Up Date]]),"")</f>
        <v/>
      </c>
      <c r="AF1168" s="448" t="s">
        <v>61</v>
      </c>
      <c r="AG1168" s="448" t="s">
        <v>61</v>
      </c>
      <c r="AH1168" s="432" t="s">
        <v>68</v>
      </c>
      <c r="AI1168" s="442"/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442"/>
      <c r="AM1168" s="620" t="str">
        <f>IFERROR(VLOOKUP(AT1168, Vessel!A:H, 8, FALSE), "")</f>
        <v/>
      </c>
      <c r="AN1168" s="588" t="str">
        <f>IFERROR(IF(VLOOKUP(AT1168,Vessel!A:I,9,FALSE)=0,"",VLOOKUP(AT1168,Vessel!A:I,9,FALSE)),"")</f>
        <v/>
      </c>
      <c r="AQ1168" s="446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8" s="442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2" t="str">
        <f>IF(ISERROR(PV_DATA[[#This Row],[New Ark PO status]]),"",_xlfn.XLOOKUP(PV_DATA[[#This Row],[SPTN-PVHK New Ark PO'#]],New_Ark_Data[Purchase order Number],New_Ark_Data[Estimated time of arrival],"",0))</f>
        <v/>
      </c>
      <c r="AZ116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2" t="str">
        <f>IFERROR(PV_DATA[[#This Row],[ODP ETA Port]]+PV_DATA[[#This Row],[Customs/Leg3 Assumption]],"n/a")</f>
        <v>n/a</v>
      </c>
      <c r="BB1168" s="443" t="s">
        <v>6273</v>
      </c>
      <c r="BC1168" s="443" t="s">
        <v>6273</v>
      </c>
      <c r="BD1168" s="432">
        <f>IFERROR(_xlfn.ISOWEEKNUM(PV_DATA[[#This Row],[ETA for New Ark update]]),0)</f>
        <v>0</v>
      </c>
      <c r="BE1168" s="432">
        <f>_xlfn.XLOOKUP(PV_DATA[[#This Row],[New Ark SKU]],Table9[New Ark SKU],Table9[Total PCS per Pallet],,0)</f>
        <v>36</v>
      </c>
      <c r="BF1168" s="432">
        <f>_xlfn.XLOOKUP(PV_DATA[[#This Row],[New Ark SKU]],Table9[New Ark SKU],Table9[Total PCS per 40HQ Container],,0)</f>
        <v>864</v>
      </c>
      <c r="BG1168" s="432" t="str">
        <f>_xlfn.XLOOKUP(PV_DATA[[#This Row],[New Ark SKU]],Table9[New Ark SKU],Table9[Back Glass],,0)</f>
        <v>Black glazing</v>
      </c>
      <c r="BH1168" s="624" t="str">
        <f>_xlfn.XLOOKUP(PV_DATA[[#This Row],[PORT DESTINATION]],Table12[PORT DESTINATION],Table12[Cosco Line],,0)</f>
        <v>n/a</v>
      </c>
    </row>
    <row r="1169" spans="1:62" s="432" customFormat="1" ht="10.5" hidden="1">
      <c r="A1169" s="730" t="s">
        <v>6946</v>
      </c>
      <c r="B1169" s="440" t="s">
        <v>61</v>
      </c>
      <c r="C1169" s="440" t="str">
        <f>IFERROR(LEFT(PV_DATA[[#This Row],[TCL REFERENCE]],FIND(".",PV_DATA[[#This Row],[TCL REFERENCE]],1)-1),"Main Line")</f>
        <v>26Aug004</v>
      </c>
      <c r="D1169" s="440" t="s">
        <v>63</v>
      </c>
      <c r="E1169" s="440" t="s">
        <v>64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0" t="s">
        <v>402</v>
      </c>
      <c r="H1169" s="440" t="s">
        <v>67</v>
      </c>
      <c r="I1169" s="440" t="s">
        <v>689</v>
      </c>
      <c r="J1169" s="432" t="s">
        <v>96</v>
      </c>
      <c r="M1169" s="431" t="s">
        <v>6273</v>
      </c>
      <c r="N1169" s="462">
        <v>46237</v>
      </c>
      <c r="O1169" s="432" t="s">
        <v>4526</v>
      </c>
      <c r="P1169" s="432" t="s">
        <v>1151</v>
      </c>
      <c r="Q1169" s="432" t="s">
        <v>421</v>
      </c>
      <c r="R1169" s="432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443">
        <v>505</v>
      </c>
      <c r="U1169" s="1212">
        <f>864*3</f>
        <v>2592</v>
      </c>
      <c r="V1169" s="449">
        <f>PV_DATA[[#This Row],[QUANTITY]]*PV_DATA[[#This Row],[WATT]]/1000000</f>
        <v>1.3089599999999999</v>
      </c>
      <c r="W1169" s="467">
        <f>PV_DATA[[#This Row],[QUANTITY]]/PV_DATA[[#This Row],[Qty/Pallet]]</f>
        <v>72</v>
      </c>
      <c r="X1169" s="1114">
        <f>PV_DATA[[#This Row],[QUANTITY]]/PV_DATA[[#This Row],[Qty/CT]]</f>
        <v>3</v>
      </c>
      <c r="Y1169" s="432" t="s">
        <v>2468</v>
      </c>
      <c r="Z1169" s="432" t="str">
        <f t="shared" si="30"/>
        <v/>
      </c>
      <c r="AA1169" s="432" t="s">
        <v>6373</v>
      </c>
      <c r="AB1169" s="442"/>
      <c r="AC1169" s="468" t="str">
        <f>IF(PV_DATA[[#This Row],[Pick-Up Date]]&lt;&gt;"",_xlfn.ISOWEEKNUM(PV_DATA[[#This Row],[Pick-Up Date]]),"")</f>
        <v/>
      </c>
      <c r="AF1169" s="448" t="s">
        <v>61</v>
      </c>
      <c r="AG1169" s="448" t="s">
        <v>61</v>
      </c>
      <c r="AH1169" s="432" t="s">
        <v>105</v>
      </c>
      <c r="AI1169" s="442"/>
      <c r="AJ1169" s="438" t="str">
        <f>IFERROR(VLOOKUP(AT1169, Vessel!A:D, 4, FALSE), "")</f>
        <v/>
      </c>
      <c r="AK1169" s="438" t="str">
        <f>IFERROR(IF(VLOOKUP(AT1169,Vessel!A:F,5,FALSE)=0,"",VLOOKUP(AT1169,Vessel!A:F,5,FALSE)),"")</f>
        <v/>
      </c>
      <c r="AL1169" s="442"/>
      <c r="AM1169" s="620" t="str">
        <f>IFERROR(VLOOKUP(AT1169, Vessel!A:H, 8, FALSE), "")</f>
        <v/>
      </c>
      <c r="AN1169" s="588" t="str">
        <f>IFERROR(IF(VLOOKUP(AT1169,Vessel!A:I,9,FALSE)=0,"",VLOOKUP(AT1169,Vessel!A:I,9,FALSE)),"")</f>
        <v/>
      </c>
      <c r="AQ1169" s="446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9" s="442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2">
        <f>IF(ISERROR(PV_DATA[[#This Row],[New Ark PO status]]),"",_xlfn.XLOOKUP(PV_DATA[[#This Row],[SPTN-PVHK New Ark PO'#]],New_Ark_Data[Purchase order Number],New_Ark_Data[Estimated time of arrival],"",0))</f>
        <v>0</v>
      </c>
      <c r="AZ11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2">
        <f>IFERROR(PV_DATA[[#This Row],[ODP ETA Port]]+PV_DATA[[#This Row],[Customs/Leg3 Assumption]],"n/a")</f>
        <v>46360</v>
      </c>
      <c r="BB1169" s="443" t="s">
        <v>6273</v>
      </c>
      <c r="BC1169" s="443" t="s">
        <v>6273</v>
      </c>
      <c r="BD1169" s="432">
        <f>IFERROR(_xlfn.ISOWEEKNUM(PV_DATA[[#This Row],[ETA for New Ark update]]),0)</f>
        <v>49</v>
      </c>
      <c r="BE1169" s="432">
        <f>_xlfn.XLOOKUP(PV_DATA[[#This Row],[New Ark SKU]],Table9[New Ark SKU],Table9[Total PCS per Pallet],,0)</f>
        <v>36</v>
      </c>
      <c r="BF1169" s="432">
        <f>_xlfn.XLOOKUP(PV_DATA[[#This Row],[New Ark SKU]],Table9[New Ark SKU],Table9[Total PCS per 40HQ Container],,0)</f>
        <v>864</v>
      </c>
      <c r="BG1169" s="432" t="str">
        <f>_xlfn.XLOOKUP(PV_DATA[[#This Row],[New Ark SKU]],Table9[New Ark SKU],Table9[Back Glass],,0)</f>
        <v>Black glazing</v>
      </c>
      <c r="BH1169" s="624" t="str">
        <f>_xlfn.XLOOKUP(PV_DATA[[#This Row],[PORT DESTINATION]],Table12[PORT DESTINATION],Table12[Cosco Line],,0)</f>
        <v>AEU</v>
      </c>
    </row>
    <row r="1170" spans="1:62" ht="10.5" hidden="1">
      <c r="A1170" s="731" t="s">
        <v>6947</v>
      </c>
      <c r="B1170" s="463" t="s">
        <v>61</v>
      </c>
      <c r="C1170" s="440" t="str">
        <f>IFERROR(LEFT(PV_DATA[[#This Row],[TCL REFERENCE]],FIND(".",PV_DATA[[#This Row],[TCL REFERENCE]],1)-1),"Main Line")</f>
        <v>Main Line</v>
      </c>
      <c r="D1170" s="463" t="s">
        <v>63</v>
      </c>
      <c r="E1170" s="440" t="s">
        <v>68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0" t="s">
        <v>68</v>
      </c>
      <c r="H1170" s="440" t="s">
        <v>68</v>
      </c>
      <c r="I1170" s="463" t="s">
        <v>68</v>
      </c>
      <c r="J1170" s="431" t="s">
        <v>68</v>
      </c>
      <c r="K1170" s="431"/>
      <c r="L1170" s="431"/>
      <c r="M1170" s="431" t="s">
        <v>6273</v>
      </c>
      <c r="N1170" s="433">
        <v>46258</v>
      </c>
      <c r="O1170" s="431" t="s">
        <v>4526</v>
      </c>
      <c r="P1170" s="431" t="s">
        <v>691</v>
      </c>
      <c r="Q1170" s="431" t="s">
        <v>692</v>
      </c>
      <c r="R1170" s="431" t="str">
        <f>_xlfn.XLOOKUP(PV_DATA[[#This Row],[New Ark SKU]],Table9[New Ark SKU],Table9[Connector],,0)</f>
        <v>EVO2A</v>
      </c>
      <c r="S1170" s="434" t="str">
        <f>_xlfn.XLOOKUP(PV_DATA[[#This Row],[New Ark SKU]],Table9[New Ark SKU],Table9[Cable],,0)</f>
        <v>±1200mm</v>
      </c>
      <c r="T1170" s="434">
        <v>505</v>
      </c>
      <c r="U1170" s="1207" cm="1">
        <f t="array" ref="U1170">15552-fx_qty</f>
        <v>0</v>
      </c>
      <c r="V1170" s="435">
        <f>PV_DATA[[#This Row],[QUANTITY]]*PV_DATA[[#This Row],[WATT]]/1000000</f>
        <v>0</v>
      </c>
      <c r="W1170" s="436">
        <f>PV_DATA[[#This Row],[QUANTITY]]/PV_DATA[[#This Row],[Qty/Pallet]]</f>
        <v>0</v>
      </c>
      <c r="X1170" s="1110">
        <f>PV_DATA[[#This Row],[QUANTITY]]/PV_DATA[[#This Row],[Qty/CT]]</f>
        <v>0</v>
      </c>
      <c r="Y1170" s="431" t="s">
        <v>6650</v>
      </c>
      <c r="Z1170" s="431" t="str">
        <f t="shared" si="30"/>
        <v/>
      </c>
      <c r="AA1170" s="431"/>
      <c r="AB1170" s="438"/>
      <c r="AC1170" s="487" t="str">
        <f>IF(PV_DATA[[#This Row],[Pick-Up Date]]&lt;&gt;"",_xlfn.ISOWEEKNUM(PV_DATA[[#This Row],[Pick-Up Date]]),"")</f>
        <v/>
      </c>
      <c r="AE1170" s="431"/>
      <c r="AF1170" s="431" t="s">
        <v>77</v>
      </c>
      <c r="AG1170" s="431" t="s">
        <v>61</v>
      </c>
      <c r="AH1170" s="431" t="s">
        <v>68</v>
      </c>
      <c r="AI1170" s="438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M1170" s="620" t="str">
        <f>IFERROR(VLOOKUP(AT1170, Vessel!A:H, 8, FALSE), "")</f>
        <v/>
      </c>
      <c r="AN1170" s="588" t="str">
        <f>IFERROR(IF(VLOOKUP(AT1170,Vessel!A:I,9,FALSE)=0,"",VLOOKUP(AT1170,Vessel!A:I,9,FALSE)),"")</f>
        <v/>
      </c>
      <c r="AR1170" s="431"/>
      <c r="AS1170" s="431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0" s="438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38" t="str">
        <f>IF(ISERROR(PV_DATA[[#This Row],[New Ark PO status]]),"",_xlfn.XLOOKUP(PV_DATA[[#This Row],[SPTN-PVHK New Ark PO'#]],New_Ark_Data[Purchase order Number],New_Ark_Data[Estimated time of arrival],"",0))</f>
        <v/>
      </c>
      <c r="AZ1170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38" t="str">
        <f>IFERROR(PV_DATA[[#This Row],[ODP ETA Port]]+PV_DATA[[#This Row],[Customs/Leg3 Assumption]],"n/a")</f>
        <v>n/a</v>
      </c>
      <c r="BB1170" s="434" t="e">
        <f>YEAR(PV_DATA[[#This Row],[ETA for New Ark update]])</f>
        <v>#VALUE!</v>
      </c>
      <c r="BC1170" s="431" t="e">
        <f>MONTH(PV_DATA[[#This Row],[ETA for New Ark update]])</f>
        <v>#VALUE!</v>
      </c>
      <c r="BD1170" s="431">
        <f>IFERROR(_xlfn.ISOWEEKNUM(PV_DATA[[#This Row],[ETA for New Ark update]]),0)</f>
        <v>0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864</v>
      </c>
      <c r="BG1170" s="431" t="str">
        <f>_xlfn.XLOOKUP(PV_DATA[[#This Row],[New Ark SKU]],Table9[New Ark SKU],Table9[Back Glass],,0)</f>
        <v>Black glazing</v>
      </c>
      <c r="BH1170" s="612" t="str">
        <f>_xlfn.XLOOKUP(PV_DATA[[#This Row],[PORT DESTINATION]],Table12[PORT DESTINATION],Table12[Cosco Line],,0)</f>
        <v>n/a</v>
      </c>
      <c r="BJ1170" s="431"/>
    </row>
    <row r="1171" spans="1:62" s="451" customFormat="1" ht="10.5" hidden="1">
      <c r="A1171" s="726" t="s">
        <v>6948</v>
      </c>
      <c r="B1171" s="447" t="s">
        <v>61</v>
      </c>
      <c r="C1171" s="447" t="str">
        <f>IFERROR(LEFT(PV_DATA[[#This Row],[TCL REFERENCE]],FIND(".",PV_DATA[[#This Row],[TCL REFERENCE]],1)-1),"Main Line")</f>
        <v>26Aug005</v>
      </c>
      <c r="D1171" s="447" t="s">
        <v>63</v>
      </c>
      <c r="E1171" s="447" t="s">
        <v>64</v>
      </c>
      <c r="F1171" s="447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1" s="447" t="s">
        <v>402</v>
      </c>
      <c r="H1171" s="447" t="s">
        <v>67</v>
      </c>
      <c r="I1171" s="447" t="s">
        <v>689</v>
      </c>
      <c r="J1171" s="451" t="s">
        <v>96</v>
      </c>
      <c r="M1171" s="451" t="s">
        <v>6273</v>
      </c>
      <c r="N1171" s="452">
        <v>46258</v>
      </c>
      <c r="O1171" s="451" t="s">
        <v>4526</v>
      </c>
      <c r="P1171" s="451" t="s">
        <v>706</v>
      </c>
      <c r="Q1171" s="451" t="s">
        <v>707</v>
      </c>
      <c r="R1171" s="451" t="str">
        <f>_xlfn.XLOOKUP(PV_DATA[[#This Row],[New Ark SKU]],Table9[New Ark SKU],Table9[Connector],,0)</f>
        <v>EVO2A</v>
      </c>
      <c r="S1171" s="453" t="str">
        <f>_xlfn.XLOOKUP(PV_DATA[[#This Row],[New Ark SKU]],Table9[New Ark SKU],Table9[Cable],,0)</f>
        <v>±1200mm</v>
      </c>
      <c r="T1171" s="453">
        <v>500</v>
      </c>
      <c r="U1171" s="1208">
        <f>864*5</f>
        <v>4320</v>
      </c>
      <c r="V1171" s="454">
        <f>PV_DATA[[#This Row],[QUANTITY]]*PV_DATA[[#This Row],[WATT]]/1000000</f>
        <v>2.16</v>
      </c>
      <c r="W1171" s="455">
        <f>PV_DATA[[#This Row],[QUANTITY]]/PV_DATA[[#This Row],[Qty/Pallet]]</f>
        <v>120</v>
      </c>
      <c r="X1171" s="1115">
        <f>PV_DATA[[#This Row],[QUANTITY]]/PV_DATA[[#This Row],[Qty/CT]]</f>
        <v>5</v>
      </c>
      <c r="Y1171" s="451" t="s">
        <v>2467</v>
      </c>
      <c r="Z1171" s="451" t="str">
        <f t="shared" si="30"/>
        <v/>
      </c>
      <c r="AA1171" s="451" t="s">
        <v>6949</v>
      </c>
      <c r="AB1171" s="456"/>
      <c r="AC1171" s="472" t="str">
        <f>IF(PV_DATA[[#This Row],[Pick-Up Date]]&lt;&gt;"",_xlfn.ISOWEEKNUM(PV_DATA[[#This Row],[Pick-Up Date]]),"")</f>
        <v/>
      </c>
      <c r="AF1171" s="451" t="s">
        <v>77</v>
      </c>
      <c r="AG1171" s="451" t="s">
        <v>61</v>
      </c>
      <c r="AH1171" s="451" t="s">
        <v>78</v>
      </c>
      <c r="AI1171" s="456"/>
      <c r="AJ1171" s="456" t="str">
        <f>IFERROR(VLOOKUP(AT1171, Vessel!A:D, 4, FALSE), "")</f>
        <v/>
      </c>
      <c r="AK1171" s="456" t="str">
        <f>IFERROR(IF(VLOOKUP(AT1171,Vessel!A:F,5,FALSE)=0,"",VLOOKUP(AT1171,Vessel!A:F,5,FALSE)),"")</f>
        <v/>
      </c>
      <c r="AL1171" s="456"/>
      <c r="AM1171" s="589" t="str">
        <f>IFERROR(VLOOKUP(AT1171, Vessel!A:H, 8, FALSE), "")</f>
        <v/>
      </c>
      <c r="AN1171" s="589" t="str">
        <f>IFERROR(IF(VLOOKUP(AT1171,Vessel!A:I,9,FALSE)=0,"",VLOOKUP(AT1171,Vessel!A:I,9,FALSE)),"")</f>
        <v/>
      </c>
      <c r="AQ1171" s="457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1" s="456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56" t="str">
        <f>IF(ISERROR(PV_DATA[[#This Row],[New Ark PO status]]),"",_xlfn.XLOOKUP(PV_DATA[[#This Row],[SPTN-PVHK New Ark PO'#]],New_Ark_Data[Purchase order Number],New_Ark_Data[Estimated time of arrival],"",0))</f>
        <v/>
      </c>
      <c r="AZ1171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1" s="456">
        <f>IFERROR(PV_DATA[[#This Row],[ODP ETA Port]]+PV_DATA[[#This Row],[Customs/Leg3 Assumption]],"n/a")</f>
        <v>46351</v>
      </c>
      <c r="BB1171" s="453">
        <f>YEAR(PV_DATA[[#This Row],[ETA for New Ark update]])</f>
        <v>2026</v>
      </c>
      <c r="BC1171" s="451">
        <f>MONTH(PV_DATA[[#This Row],[ETA for New Ark update]])</f>
        <v>11</v>
      </c>
      <c r="BD1171" s="451">
        <f>IFERROR(_xlfn.ISOWEEKNUM(PV_DATA[[#This Row],[ETA for New Ark update]]),0)</f>
        <v>48</v>
      </c>
      <c r="BE1171" s="451">
        <f>_xlfn.XLOOKUP(PV_DATA[[#This Row],[New Ark SKU]],Table9[New Ark SKU],Table9[Total PCS per Pallet],,0)</f>
        <v>36</v>
      </c>
      <c r="BF1171" s="451">
        <f>_xlfn.XLOOKUP(PV_DATA[[#This Row],[New Ark SKU]],Table9[New Ark SKU],Table9[Total PCS per 40HQ Container],,0)</f>
        <v>864</v>
      </c>
      <c r="BG1171" s="451" t="str">
        <f>_xlfn.XLOOKUP(PV_DATA[[#This Row],[New Ark SKU]],Table9[New Ark SKU],Table9[Back Glass],,0)</f>
        <v>Black glazing</v>
      </c>
      <c r="BH1171" s="733" t="str">
        <f>_xlfn.XLOOKUP(PV_DATA[[#This Row],[PORT DESTINATION]],Table12[PORT DESTINATION],Table12[Cosco Line],,0)</f>
        <v>AEM</v>
      </c>
    </row>
    <row r="1172" spans="1:62" ht="10.5" hidden="1">
      <c r="A1172" s="731" t="s">
        <v>6950</v>
      </c>
      <c r="B1172" s="463" t="s">
        <v>61</v>
      </c>
      <c r="C1172" s="440" t="str">
        <f>IFERROR(LEFT(PV_DATA[[#This Row],[TCL REFERENCE]],FIND(".",PV_DATA[[#This Row],[TCL REFERENCE]],1)-1),"Main Line")</f>
        <v>26Aug006</v>
      </c>
      <c r="D1172" s="463" t="s">
        <v>63</v>
      </c>
      <c r="E1172" s="463" t="s">
        <v>64</v>
      </c>
      <c r="F1172" s="463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2" s="463" t="s">
        <v>402</v>
      </c>
      <c r="H1172" s="463" t="s">
        <v>67</v>
      </c>
      <c r="I1172" s="463" t="s">
        <v>689</v>
      </c>
      <c r="J1172" s="431" t="s">
        <v>96</v>
      </c>
      <c r="K1172" s="431"/>
      <c r="L1172" s="431"/>
      <c r="M1172" s="431" t="s">
        <v>6531</v>
      </c>
      <c r="N1172" s="433">
        <v>46258</v>
      </c>
      <c r="O1172" s="431" t="s">
        <v>4526</v>
      </c>
      <c r="P1172" s="431" t="s">
        <v>691</v>
      </c>
      <c r="Q1172" s="431" t="s">
        <v>692</v>
      </c>
      <c r="R1172" s="431" t="str">
        <f>_xlfn.XLOOKUP(PV_DATA[[#This Row],[New Ark SKU]],Table9[New Ark SKU],Table9[Connector],,0)</f>
        <v>EVO2A</v>
      </c>
      <c r="S1172" s="434" t="str">
        <f>_xlfn.XLOOKUP(PV_DATA[[#This Row],[New Ark SKU]],Table9[New Ark SKU],Table9[Cable],,0)</f>
        <v>±1200mm</v>
      </c>
      <c r="T1172" s="434">
        <v>505</v>
      </c>
      <c r="U1172" s="1207">
        <v>1728</v>
      </c>
      <c r="V1172" s="435">
        <f>PV_DATA[[#This Row],[QUANTITY]]*PV_DATA[[#This Row],[WATT]]/1000000</f>
        <v>0.87263999999999997</v>
      </c>
      <c r="W1172" s="436">
        <f>PV_DATA[[#This Row],[QUANTITY]]/PV_DATA[[#This Row],[Qty/Pallet]]</f>
        <v>48</v>
      </c>
      <c r="X1172" s="1110">
        <f>PV_DATA[[#This Row],[QUANTITY]]/PV_DATA[[#This Row],[Qty/CT]]</f>
        <v>2</v>
      </c>
      <c r="Y1172" s="431" t="s">
        <v>2468</v>
      </c>
      <c r="Z1172" s="431" t="str">
        <f>IF(AN1172&lt;&gt;"","COMPLETED",IF(AK1172&lt;&gt;"","IN-TRANSIT",""))</f>
        <v/>
      </c>
      <c r="AA1172" s="451" t="s">
        <v>6626</v>
      </c>
      <c r="AB1172" s="438"/>
      <c r="AC1172" s="487" t="str">
        <f>IF(PV_DATA[[#This Row],[Pick-Up Date]]&lt;&gt;"",_xlfn.ISOWEEKNUM(PV_DATA[[#This Row],[Pick-Up Date]]),"")</f>
        <v/>
      </c>
      <c r="AE1172" s="431"/>
      <c r="AF1172" s="431" t="s">
        <v>77</v>
      </c>
      <c r="AG1172" s="431" t="s">
        <v>61</v>
      </c>
      <c r="AH1172" s="431" t="s">
        <v>78</v>
      </c>
      <c r="AI1172" s="1023">
        <v>46284</v>
      </c>
      <c r="AJ1172" s="438">
        <f>IFERROR(VLOOKUP(AT1172, Vessel!A:D, 4, FALSE), "")</f>
        <v>46284.958333333336</v>
      </c>
      <c r="AK1172" s="438" t="str">
        <f>IFERROR(IF(VLOOKUP(AT1172,Vessel!A:F,5,FALSE)=0,"",VLOOKUP(AT1172,Vessel!A:F,5,FALSE)),"")</f>
        <v/>
      </c>
      <c r="AL1172" s="1023">
        <v>46344</v>
      </c>
      <c r="AM1172" s="620">
        <f>IFERROR(VLOOKUP(AT1172, Vessel!A:H, 8, FALSE), "")</f>
        <v>46344.25</v>
      </c>
      <c r="AN1172" s="588" t="str">
        <f>IFERROR(IF(VLOOKUP(AT1172,Vessel!A:I,9,FALSE)=0,"",VLOOKUP(AT1172,Vessel!A:I,9,FALSE)),"")</f>
        <v/>
      </c>
      <c r="AO1172" s="431" t="s">
        <v>402</v>
      </c>
      <c r="AP1172" s="431" t="s">
        <v>6843</v>
      </c>
      <c r="AQ1172" s="619" t="s">
        <v>80</v>
      </c>
      <c r="AR1172" s="431" t="s">
        <v>6951</v>
      </c>
      <c r="AS1172" s="431" t="s">
        <v>6952</v>
      </c>
      <c r="AT1172" s="431" t="s">
        <v>6952</v>
      </c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59.291666666664241</v>
      </c>
      <c r="AW1172" s="438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38">
        <f>IF(ISERROR(PV_DATA[[#This Row],[New Ark PO status]]),"",_xlfn.XLOOKUP(PV_DATA[[#This Row],[SPTN-PVHK New Ark PO'#]],New_Ark_Data[Purchase order Number],New_Ark_Data[Estimated time of arrival],"",0))</f>
        <v>0</v>
      </c>
      <c r="AZ11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2" s="438">
        <f>IFERROR(PV_DATA[[#This Row],[ODP ETA Port]]+PV_DATA[[#This Row],[Customs/Leg3 Assumption]],"n/a")</f>
        <v>46352.25</v>
      </c>
      <c r="BB1172" s="434">
        <f>YEAR(PV_DATA[[#This Row],[ETA for New Ark update]])</f>
        <v>2026</v>
      </c>
      <c r="BC1172" s="431">
        <f>MONTH(PV_DATA[[#This Row],[ETA for New Ark update]])</f>
        <v>11</v>
      </c>
      <c r="BD1172" s="431">
        <f>IFERROR(_xlfn.ISOWEEKNUM(PV_DATA[[#This Row],[ETA for New Ark update]]),0)</f>
        <v>48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864</v>
      </c>
      <c r="BG1172" s="431" t="str">
        <f>_xlfn.XLOOKUP(PV_DATA[[#This Row],[New Ark SKU]],Table9[New Ark SKU],Table9[Back Glass],,0)</f>
        <v>Black glazing</v>
      </c>
      <c r="BH1172" s="612" t="str">
        <f>_xlfn.XLOOKUP(PV_DATA[[#This Row],[PORT DESTINATION]],Table12[PORT DESTINATION],Table12[Cosco Line],,0)</f>
        <v>AEM</v>
      </c>
      <c r="BJ1172" s="431"/>
    </row>
    <row r="1173" spans="1:62" ht="10.5" hidden="1">
      <c r="A1173" s="730" t="s">
        <v>6953</v>
      </c>
      <c r="B1173" s="440" t="s">
        <v>1757</v>
      </c>
      <c r="C1173" s="440" t="str">
        <f>IFERROR(LEFT(PV_DATA[[#This Row],[TCL REFERENCE]],FIND(".",PV_DATA[[#This Row],[TCL REFERENCE]],1)-1),"Main Line")</f>
        <v>Main Line</v>
      </c>
      <c r="D1173" s="440" t="s">
        <v>63</v>
      </c>
      <c r="E1173" s="440" t="s">
        <v>68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40" t="s">
        <v>68</v>
      </c>
      <c r="H1173" s="440" t="s">
        <v>68</v>
      </c>
      <c r="I1173" s="440" t="s">
        <v>68</v>
      </c>
      <c r="J1173" s="432" t="s">
        <v>68</v>
      </c>
      <c r="K1173" s="432"/>
      <c r="L1173" s="432"/>
      <c r="M1173" s="431" t="s">
        <v>6273</v>
      </c>
      <c r="N1173" s="433">
        <v>46258</v>
      </c>
      <c r="O1173" s="432" t="s">
        <v>284</v>
      </c>
      <c r="P1173" s="431" t="s">
        <v>5846</v>
      </c>
      <c r="Q1173" s="432" t="s">
        <v>5847</v>
      </c>
      <c r="R1173" s="432" t="str">
        <f>_xlfn.XLOOKUP(PV_DATA[[#This Row],[New Ark SKU]],Table9[New Ark SKU],Table9[Connector],,0)</f>
        <v>EVO2A</v>
      </c>
      <c r="S1173" s="443" t="str">
        <f>_xlfn.XLOOKUP(PV_DATA[[#This Row],[New Ark SKU]],Table9[New Ark SKU],Table9[Cable],,0)</f>
        <v>±1200mm</v>
      </c>
      <c r="T1173" s="443">
        <v>485</v>
      </c>
      <c r="U1173" s="1212" cm="1">
        <f t="array" ref="U1173">44928-fx_qty</f>
        <v>0</v>
      </c>
      <c r="V1173" s="449">
        <f>PV_DATA[[#This Row],[QUANTITY]]*PV_DATA[[#This Row],[WATT]]/1000000</f>
        <v>0</v>
      </c>
      <c r="W1173" s="627">
        <f>PV_DATA[[#This Row],[QUANTITY]]/36</f>
        <v>0</v>
      </c>
      <c r="X1173" s="1114">
        <f>PV_DATA[[#This Row],[QUANTITY]]/PV_DATA[[#This Row],[Qty/CT]]</f>
        <v>0</v>
      </c>
      <c r="Y1173" s="432" t="s">
        <v>6650</v>
      </c>
      <c r="Z1173" s="431" t="str">
        <f t="shared" si="30"/>
        <v/>
      </c>
      <c r="AA1173" s="432"/>
      <c r="AB1173" s="442"/>
      <c r="AC1173" s="468" t="str">
        <f>IF(PV_DATA[[#This Row],[Pick-Up Date]]&lt;&gt;"",_xlfn.ISOWEEKNUM(PV_DATA[[#This Row],[Pick-Up Date]]),"")</f>
        <v/>
      </c>
      <c r="AD1173" s="432"/>
      <c r="AE1173" s="432"/>
      <c r="AF1173" s="432" t="s">
        <v>1525</v>
      </c>
      <c r="AG1173" s="432" t="s">
        <v>5992</v>
      </c>
      <c r="AH1173" s="432" t="s">
        <v>68</v>
      </c>
      <c r="AI1173" s="442"/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442"/>
      <c r="AM1173" s="620" t="str">
        <f>IFERROR(VLOOKUP(AT1173, Vessel!A:H, 8, FALSE), "")</f>
        <v/>
      </c>
      <c r="AN1173" s="588" t="str">
        <f>IFERROR(IF(VLOOKUP(AT1173,Vessel!A:I,9,FALSE)=0,"",VLOOKUP(AT1173,Vessel!A:I,9,FALSE)),"")</f>
        <v/>
      </c>
      <c r="AO1173" s="432"/>
      <c r="AP1173" s="432"/>
      <c r="AQ1173" s="446"/>
      <c r="AR1173" s="432"/>
      <c r="AS1173" s="432"/>
      <c r="AT1173" s="432"/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2"/>
      <c r="AW1173" s="442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 t="str">
        <f>IF(ISERROR(PV_DATA[[#This Row],[New Ark PO status]]),"",_xlfn.XLOOKUP(PV_DATA[[#This Row],[SPTN-PVHK New Ark PO'#]],New_Ark_Data[Purchase order Number],New_Ark_Data[Estimated time of arrival],"",0))</f>
        <v/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2" t="str">
        <f>IFERROR(PV_DATA[[#This Row],[ODP ETA Port]]+PV_DATA[[#This Row],[Customs/Leg3 Assumption]],"n/a")</f>
        <v>n/a</v>
      </c>
      <c r="BB1173" s="443" t="e">
        <f>YEAR(PV_DATA[[#This Row],[ETA for New Ark update]])</f>
        <v>#VALUE!</v>
      </c>
      <c r="BC1173" s="432" t="e">
        <f>MONTH(PV_DATA[[#This Row],[ETA for New Ark update]])</f>
        <v>#VALUE!</v>
      </c>
      <c r="BD1173" s="432">
        <f>IFERROR(_xlfn.ISOWEEKNUM(PV_DATA[[#This Row],[ETA for New Ark update]]),0)</f>
        <v>0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936</v>
      </c>
      <c r="BG1173" s="432" t="str">
        <f>_xlfn.XLOOKUP(PV_DATA[[#This Row],[New Ark SKU]],Table9[New Ark SKU],Table9[Back Glass],,0)</f>
        <v>Black glazing</v>
      </c>
      <c r="BH1173" s="624" t="str">
        <f>_xlfn.XLOOKUP(PV_DATA[[#This Row],[PORT DESTINATION]],Table12[PORT DESTINATION],Table12[Cosco Line],,0)</f>
        <v>n/a</v>
      </c>
      <c r="BJ1173" s="431"/>
    </row>
    <row r="1174" spans="1:62" ht="10.5" hidden="1">
      <c r="A1174" s="730" t="s">
        <v>6954</v>
      </c>
      <c r="B1174" s="440" t="s">
        <v>1757</v>
      </c>
      <c r="C1174" s="440" t="str">
        <f>IFERROR(LEFT(PV_DATA[[#This Row],[TCL REFERENCE]],FIND(".",PV_DATA[[#This Row],[TCL REFERENCE]],1)-1),"Main Line")</f>
        <v>Main Line</v>
      </c>
      <c r="D1174" s="440" t="s">
        <v>63</v>
      </c>
      <c r="E1174" s="440" t="s">
        <v>68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0" t="s">
        <v>68</v>
      </c>
      <c r="H1174" s="440" t="s">
        <v>68</v>
      </c>
      <c r="I1174" s="440" t="s">
        <v>68</v>
      </c>
      <c r="J1174" s="432" t="s">
        <v>68</v>
      </c>
      <c r="K1174" s="432"/>
      <c r="L1174" s="432"/>
      <c r="M1174" s="432" t="s">
        <v>68</v>
      </c>
      <c r="N1174" s="433" t="s">
        <v>6174</v>
      </c>
      <c r="O1174" s="432" t="s">
        <v>284</v>
      </c>
      <c r="P1174" s="431" t="s">
        <v>6181</v>
      </c>
      <c r="Q1174" s="432" t="s">
        <v>6182</v>
      </c>
      <c r="R1174" s="432" t="str">
        <f>_xlfn.XLOOKUP(PV_DATA[[#This Row],[New Ark SKU]],Table9[New Ark SKU],Table9[Connector],,0)</f>
        <v>EVO2A</v>
      </c>
      <c r="S1174" s="443" t="str">
        <f>_xlfn.XLOOKUP(PV_DATA[[#This Row],[New Ark SKU]],Table9[New Ark SKU],Table9[Cable],,0)</f>
        <v>±1200mm</v>
      </c>
      <c r="T1174" s="443">
        <v>490</v>
      </c>
      <c r="U1174" s="1212" cm="1">
        <f t="array" ref="U1174">6552-fx_qty</f>
        <v>0</v>
      </c>
      <c r="V1174" s="449">
        <f>PV_DATA[[#This Row],[QUANTITY]]*PV_DATA[[#This Row],[WATT]]/1000000</f>
        <v>0</v>
      </c>
      <c r="W1174" s="627">
        <f>PV_DATA[[#This Row],[QUANTITY]]/36</f>
        <v>0</v>
      </c>
      <c r="X1174" s="1114">
        <f>PV_DATA[[#This Row],[QUANTITY]]/PV_DATA[[#This Row],[Qty/CT]]</f>
        <v>0</v>
      </c>
      <c r="Y1174" s="432" t="s">
        <v>6650</v>
      </c>
      <c r="Z1174" s="431" t="str">
        <f t="shared" si="30"/>
        <v/>
      </c>
      <c r="AA1174" s="432"/>
      <c r="AB1174" s="442"/>
      <c r="AC1174" s="468" t="str">
        <f>IF(PV_DATA[[#This Row],[Pick-Up Date]]&lt;&gt;"",_xlfn.ISOWEEKNUM(PV_DATA[[#This Row],[Pick-Up Date]]),"")</f>
        <v/>
      </c>
      <c r="AD1174" s="432"/>
      <c r="AE1174" s="432"/>
      <c r="AF1174" s="432" t="s">
        <v>1525</v>
      </c>
      <c r="AG1174" s="432" t="s">
        <v>5992</v>
      </c>
      <c r="AH1174" s="432" t="s">
        <v>68</v>
      </c>
      <c r="AI1174" s="442"/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L1174" s="442"/>
      <c r="AM1174" s="442"/>
      <c r="AN1174" s="588" t="str">
        <f>IFERROR(IF(VLOOKUP(AT1174,Vessel!A:I,9,FALSE)=0,"",VLOOKUP(AT1174,Vessel!A:I,9,FALSE)),"")</f>
        <v/>
      </c>
      <c r="AO1174" s="432"/>
      <c r="AP1174" s="432"/>
      <c r="AQ1174" s="446"/>
      <c r="AR1174" s="432"/>
      <c r="AS1174" s="432"/>
      <c r="AT1174" s="432"/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2"/>
      <c r="AW1174" s="442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>
        <f>IF(ISERROR(PV_DATA[[#This Row],[New Ark PO status]]),"",_xlfn.XLOOKUP(PV_DATA[[#This Row],[SPTN-PVHK New Ark PO'#]],New_Ark_Data[Purchase order Number],New_Ark_Data[Estimated time of arrival],"",0))</f>
        <v>0</v>
      </c>
      <c r="AZ117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2" t="str">
        <f>IFERROR(PV_DATA[[#This Row],[ODP ETA Port]]+PV_DATA[[#This Row],[Customs/Leg3 Assumption]],"n/a")</f>
        <v>n/a</v>
      </c>
      <c r="BB1174" s="443" t="e">
        <f>YEAR(PV_DATA[[#This Row],[ETA for New Ark update]])</f>
        <v>#VALUE!</v>
      </c>
      <c r="BC1174" s="432" t="e">
        <f>MONTH(PV_DATA[[#This Row],[ETA for New Ark update]])</f>
        <v>#VALUE!</v>
      </c>
      <c r="BD1174" s="432">
        <f>IFERROR(_xlfn.ISOWEEKNUM(PV_DATA[[#This Row],[ETA for New Ark update]]),0)</f>
        <v>0</v>
      </c>
      <c r="BE1174" s="432">
        <f>_xlfn.XLOOKUP(PV_DATA[[#This Row],[New Ark SKU]],Table9[New Ark SKU],Table9[Total PCS per Pallet],,0)</f>
        <v>36</v>
      </c>
      <c r="BF1174" s="432">
        <f>_xlfn.XLOOKUP(PV_DATA[[#This Row],[New Ark SKU]],Table9[New Ark SKU],Table9[Total PCS per 40HQ Container],,0)</f>
        <v>936</v>
      </c>
      <c r="BG1174" s="432" t="str">
        <f>_xlfn.XLOOKUP(PV_DATA[[#This Row],[New Ark SKU]],Table9[New Ark SKU],Table9[Back Glass],,0)</f>
        <v>Black glazing</v>
      </c>
      <c r="BH1174" s="624" t="str">
        <f>_xlfn.XLOOKUP(PV_DATA[[#This Row],[PORT DESTINATION]],Table12[PORT DESTINATION],Table12[Cosco Line],,0)</f>
        <v>n/a</v>
      </c>
      <c r="BJ1174" s="431"/>
    </row>
    <row r="1175" spans="1:62" ht="10.5" hidden="1">
      <c r="A1175" s="729" t="s">
        <v>6955</v>
      </c>
      <c r="B1175" s="728" t="s">
        <v>111</v>
      </c>
      <c r="C1175" s="440" t="str">
        <f>IFERROR(LEFT(PV_DATA[[#This Row],[TCL REFERENCE]],FIND(".",PV_DATA[[#This Row],[TCL REFERENCE]],1)-1),"Main Line")</f>
        <v>Main Line</v>
      </c>
      <c r="D1175" s="728" t="s">
        <v>113</v>
      </c>
      <c r="E1175" s="440" t="s">
        <v>68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40" t="s">
        <v>68</v>
      </c>
      <c r="H1175" s="440" t="s">
        <v>68</v>
      </c>
      <c r="I1175" s="440" t="s">
        <v>68</v>
      </c>
      <c r="J1175" s="432" t="s">
        <v>68</v>
      </c>
      <c r="K1175" s="621"/>
      <c r="L1175" s="621"/>
      <c r="M1175" s="432" t="s">
        <v>68</v>
      </c>
      <c r="N1175" s="632"/>
      <c r="O1175" s="621" t="s">
        <v>4526</v>
      </c>
      <c r="P1175" s="625" t="s">
        <v>6207</v>
      </c>
      <c r="Q1175" s="621" t="s">
        <v>330</v>
      </c>
      <c r="R1175" s="621" t="str">
        <f>_xlfn.XLOOKUP(PV_DATA[[#This Row],[New Ark SKU]],Table9[New Ark SKU],Table9[Connector],,0)</f>
        <v>H4(Com)</v>
      </c>
      <c r="S1175" s="622" t="str">
        <f>_xlfn.XLOOKUP(PV_DATA[[#This Row],[New Ark SKU]],Table9[New Ark SKU],Table9[Cable],,0)</f>
        <v>+400mm/-200mm</v>
      </c>
      <c r="T1175" s="622">
        <v>625</v>
      </c>
      <c r="U1175" s="1212" cm="1">
        <f t="array" ref="U1175">84240-fx_qty</f>
        <v>0</v>
      </c>
      <c r="V1175" s="626">
        <f>PV_DATA[[#This Row],[QUANTITY]]*PV_DATA[[#This Row],[WATT]]/1000000</f>
        <v>0</v>
      </c>
      <c r="W1175" s="467">
        <f>PV_DATA[[#This Row],[QUANTITY]]/36</f>
        <v>0</v>
      </c>
      <c r="X1175" s="1118">
        <f>PV_DATA[[#This Row],[QUANTITY]]/PV_DATA[[#This Row],[Qty/CT]]</f>
        <v>0</v>
      </c>
      <c r="Y1175" s="432" t="s">
        <v>6650</v>
      </c>
      <c r="Z1175" s="431" t="str">
        <f t="shared" si="30"/>
        <v/>
      </c>
      <c r="AA1175" s="621"/>
      <c r="AB1175" s="628"/>
      <c r="AC1175" s="629" t="str">
        <f>IF(PV_DATA[[#This Row],[Pick-Up Date]]&lt;&gt;"",_xlfn.ISOWEEKNUM(PV_DATA[[#This Row],[Pick-Up Date]]),"")</f>
        <v/>
      </c>
      <c r="AD1175" s="621"/>
      <c r="AE1175" s="621"/>
      <c r="AF1175" s="621" t="s">
        <v>122</v>
      </c>
      <c r="AG1175" s="621" t="s">
        <v>122</v>
      </c>
      <c r="AH1175" s="431" t="s">
        <v>68</v>
      </c>
      <c r="AI1175" s="628"/>
      <c r="AJ1175" s="438" t="str">
        <f>IFERROR(VLOOKUP(AT1175, Vessel!A:D, 4, FALSE), "")</f>
        <v/>
      </c>
      <c r="AK1175" s="438" t="str">
        <f>IFERROR(IF(VLOOKUP(AT1175,Vessel!A:F,5,FALSE)=0,"",VLOOKUP(AT1175,Vessel!A:F,5,FALSE)),"")</f>
        <v/>
      </c>
      <c r="AL1175" s="628"/>
      <c r="AM1175" s="628"/>
      <c r="AN1175" s="588" t="str">
        <f>IFERROR(IF(VLOOKUP(AT1175,Vessel!A:I,9,FALSE)=0,"",VLOOKUP(AT1175,Vessel!A:I,9,FALSE)),"")</f>
        <v/>
      </c>
      <c r="AO1175" s="621"/>
      <c r="AP1175" s="621"/>
      <c r="AQ1175" s="630"/>
      <c r="AR1175" s="621"/>
      <c r="AS1175" s="621"/>
      <c r="AT1175" s="432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621"/>
      <c r="AW1175" s="628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628" t="str">
        <f>IF(ISERROR(PV_DATA[[#This Row],[New Ark PO status]]),"",_xlfn.XLOOKUP(PV_DATA[[#This Row],[SPTN-PVHK New Ark PO'#]],New_Ark_Data[Purchase order Number],New_Ark_Data[Estimated time of arrival],"",0))</f>
        <v/>
      </c>
      <c r="AZ117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628" t="str">
        <f>IFERROR(PV_DATA[[#This Row],[ODP ETA Port]]+PV_DATA[[#This Row],[Customs/Leg3 Assumption]],"n/a")</f>
        <v>n/a</v>
      </c>
      <c r="BB1175" s="443" t="s">
        <v>6273</v>
      </c>
      <c r="BC1175" s="443" t="s">
        <v>6273</v>
      </c>
      <c r="BD1175" s="621">
        <f>IFERROR(_xlfn.ISOWEEKNUM(PV_DATA[[#This Row],[ETA for New Ark update]]),0)</f>
        <v>0</v>
      </c>
      <c r="BE1175" s="621">
        <f>_xlfn.XLOOKUP(PV_DATA[[#This Row],[New Ark SKU]],Table9[New Ark SKU],Table9[Total PCS per Pallet],,0)</f>
        <v>36</v>
      </c>
      <c r="BF1175" s="621">
        <f>_xlfn.XLOOKUP(PV_DATA[[#This Row],[New Ark SKU]],Table9[New Ark SKU],Table9[Total PCS per 40HQ Container],,0)</f>
        <v>720</v>
      </c>
      <c r="BG1175" s="621" t="str">
        <f>_xlfn.XLOOKUP(PV_DATA[[#This Row],[New Ark SKU]],Table9[New Ark SKU],Table9[Back Glass],,0)</f>
        <v>Redirection Film</v>
      </c>
      <c r="BH1175" s="631" t="str">
        <f>_xlfn.XLOOKUP(PV_DATA[[#This Row],[PORT DESTINATION]],Table12[PORT DESTINATION],Table12[Cosco Line],,0)</f>
        <v>n/a</v>
      </c>
      <c r="BJ1175" s="431"/>
    </row>
    <row r="1176" spans="1:62" ht="10.5" hidden="1">
      <c r="A1176" s="729" t="s">
        <v>6956</v>
      </c>
      <c r="B1176" s="728" t="s">
        <v>111</v>
      </c>
      <c r="C1176" s="440" t="str">
        <f>IFERROR(LEFT(PV_DATA[[#This Row],[TCL REFERENCE]],FIND(".",PV_DATA[[#This Row],[TCL REFERENCE]],1)-1),"Main Line")</f>
        <v>26Aug010</v>
      </c>
      <c r="D1176" s="728" t="s">
        <v>113</v>
      </c>
      <c r="E1176" s="440" t="s">
        <v>64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0" t="s">
        <v>402</v>
      </c>
      <c r="H1176" s="440" t="s">
        <v>67</v>
      </c>
      <c r="I1176" s="440" t="s">
        <v>689</v>
      </c>
      <c r="J1176" s="432" t="s">
        <v>96</v>
      </c>
      <c r="K1176" s="621"/>
      <c r="L1176" s="621"/>
      <c r="M1176" s="432" t="s">
        <v>68</v>
      </c>
      <c r="N1176" s="632"/>
      <c r="O1176" s="621" t="s">
        <v>4526</v>
      </c>
      <c r="P1176" s="625" t="s">
        <v>6207</v>
      </c>
      <c r="Q1176" s="621" t="s">
        <v>330</v>
      </c>
      <c r="R1176" s="621" t="str">
        <f>_xlfn.XLOOKUP(PV_DATA[[#This Row],[New Ark SKU]],Table9[New Ark SKU],Table9[Connector],,0)</f>
        <v>H4(Com)</v>
      </c>
      <c r="S1176" s="622" t="str">
        <f>_xlfn.XLOOKUP(PV_DATA[[#This Row],[New Ark SKU]],Table9[New Ark SKU],Table9[Cable],,0)</f>
        <v>+400mm/-200mm</v>
      </c>
      <c r="T1176" s="622">
        <v>625</v>
      </c>
      <c r="U1176" s="1212">
        <v>720</v>
      </c>
      <c r="V1176" s="626">
        <f>PV_DATA[[#This Row],[QUANTITY]]*PV_DATA[[#This Row],[WATT]]/1000000</f>
        <v>0.45</v>
      </c>
      <c r="W1176" s="467">
        <f>PV_DATA[[#This Row],[QUANTITY]]/36</f>
        <v>20</v>
      </c>
      <c r="X1176" s="1118">
        <f>PV_DATA[[#This Row],[QUANTITY]]/PV_DATA[[#This Row],[Qty/CT]]</f>
        <v>1</v>
      </c>
      <c r="Y1176" s="432" t="s">
        <v>2469</v>
      </c>
      <c r="Z1176" s="431" t="str">
        <f>IF(AN1176&lt;&gt;"","COMPLETED",IF(AK1176&lt;&gt;"","IN-TRANSIT",""))</f>
        <v/>
      </c>
      <c r="AA1176" s="621" t="s">
        <v>5848</v>
      </c>
      <c r="AB1176" s="628">
        <v>46280</v>
      </c>
      <c r="AC1176" s="629">
        <f>IF(PV_DATA[[#This Row],[Pick-Up Date]]&lt;&gt;"",_xlfn.ISOWEEKNUM(PV_DATA[[#This Row],[Pick-Up Date]]),"")</f>
        <v>38</v>
      </c>
      <c r="AD1176" s="621"/>
      <c r="AE1176" s="621"/>
      <c r="AF1176" s="621" t="s">
        <v>5992</v>
      </c>
      <c r="AG1176" s="621" t="s">
        <v>5992</v>
      </c>
      <c r="AH1176" s="432" t="s">
        <v>105</v>
      </c>
      <c r="AI1176" s="628">
        <v>46282</v>
      </c>
      <c r="AK1176" s="438" t="str">
        <f>IFERROR(IF(VLOOKUP(AT1176,Vessel!A:F,5,FALSE)=0,"",VLOOKUP(AT1176,Vessel!A:F,5,FALSE)),"")</f>
        <v/>
      </c>
      <c r="AL1176" s="628">
        <v>46315</v>
      </c>
      <c r="AM1176" s="628"/>
      <c r="AN1176" s="588" t="str">
        <f>IFERROR(IF(VLOOKUP(AT1176,Vessel!A:I,9,FALSE)=0,"",VLOOKUP(AT1176,Vessel!A:I,9,FALSE)),"")</f>
        <v/>
      </c>
      <c r="AO1176" s="621"/>
      <c r="AP1176" s="621" t="s">
        <v>6657</v>
      </c>
      <c r="AQ1176" s="431" t="s">
        <v>80</v>
      </c>
      <c r="AR1176" s="621" t="s">
        <v>6658</v>
      </c>
      <c r="AS1176" s="621" t="s">
        <v>6659</v>
      </c>
      <c r="AT1176" s="432" t="s">
        <v>6659</v>
      </c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76" s="621"/>
      <c r="AW1176" s="628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628">
        <f>IF(ISERROR(PV_DATA[[#This Row],[New Ark PO status]]),"",_xlfn.XLOOKUP(PV_DATA[[#This Row],[SPTN-PVHK New Ark PO'#]],New_Ark_Data[Purchase order Number],New_Ark_Data[Estimated time of arrival],"",0))</f>
        <v>0</v>
      </c>
      <c r="AZ1176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628">
        <f>IFERROR(PV_DATA[[#This Row],[ODP ETA Port]]+PV_DATA[[#This Row],[Customs/Leg3 Assumption]],"n/a")</f>
        <v>46322</v>
      </c>
      <c r="BB1176" s="443" t="s">
        <v>6531</v>
      </c>
      <c r="BC1176" s="443" t="s">
        <v>6531</v>
      </c>
      <c r="BD1176" s="621">
        <f>IFERROR(_xlfn.ISOWEEKNUM(PV_DATA[[#This Row],[ETA for New Ark update]]),0)</f>
        <v>44</v>
      </c>
      <c r="BE1176" s="621">
        <f>_xlfn.XLOOKUP(PV_DATA[[#This Row],[New Ark SKU]],Table9[New Ark SKU],Table9[Total PCS per Pallet],,0)</f>
        <v>36</v>
      </c>
      <c r="BF1176" s="621">
        <f>_xlfn.XLOOKUP(PV_DATA[[#This Row],[New Ark SKU]],Table9[New Ark SKU],Table9[Total PCS per 40HQ Container],,0)</f>
        <v>720</v>
      </c>
      <c r="BG1176" s="621" t="str">
        <f>_xlfn.XLOOKUP(PV_DATA[[#This Row],[New Ark SKU]],Table9[New Ark SKU],Table9[Back Glass],,0)</f>
        <v>Redirection Film</v>
      </c>
      <c r="BH1176" s="631" t="str">
        <f>_xlfn.XLOOKUP(PV_DATA[[#This Row],[PORT DESTINATION]],Table12[PORT DESTINATION],Table12[Cosco Line],,0)</f>
        <v>AEU</v>
      </c>
      <c r="BJ1176" s="431"/>
    </row>
    <row r="1177" spans="1:62" ht="10.5" hidden="1">
      <c r="A1177" s="729" t="s">
        <v>6957</v>
      </c>
      <c r="B1177" s="728" t="s">
        <v>111</v>
      </c>
      <c r="C1177" s="440" t="str">
        <f>IFERROR(LEFT(PV_DATA[[#This Row],[TCL REFERENCE]],FIND(".",PV_DATA[[#This Row],[TCL REFERENCE]],1)-1),"Main Line")</f>
        <v>26Aug010</v>
      </c>
      <c r="D1177" s="728" t="s">
        <v>113</v>
      </c>
      <c r="E1177" s="440" t="s">
        <v>68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0" t="s">
        <v>402</v>
      </c>
      <c r="H1177" s="440" t="s">
        <v>67</v>
      </c>
      <c r="I1177" s="440" t="s">
        <v>689</v>
      </c>
      <c r="J1177" s="432" t="s">
        <v>96</v>
      </c>
      <c r="K1177" s="621"/>
      <c r="L1177" s="621"/>
      <c r="M1177" s="432" t="s">
        <v>68</v>
      </c>
      <c r="N1177" s="632"/>
      <c r="O1177" s="621" t="s">
        <v>4526</v>
      </c>
      <c r="P1177" s="625" t="s">
        <v>6207</v>
      </c>
      <c r="Q1177" s="621" t="s">
        <v>330</v>
      </c>
      <c r="R1177" s="621" t="str">
        <f>_xlfn.XLOOKUP(PV_DATA[[#This Row],[New Ark SKU]],Table9[New Ark SKU],Table9[Connector],,0)</f>
        <v>H4(Com)</v>
      </c>
      <c r="S1177" s="622" t="str">
        <f>_xlfn.XLOOKUP(PV_DATA[[#This Row],[New Ark SKU]],Table9[New Ark SKU],Table9[Cable],,0)</f>
        <v>+400mm/-200mm</v>
      </c>
      <c r="T1177" s="622">
        <v>625</v>
      </c>
      <c r="U1177" s="1212">
        <f>720*4</f>
        <v>2880</v>
      </c>
      <c r="V1177" s="626">
        <f>PV_DATA[[#This Row],[QUANTITY]]*PV_DATA[[#This Row],[WATT]]/1000000</f>
        <v>1.8</v>
      </c>
      <c r="W1177" s="467">
        <f>PV_DATA[[#This Row],[QUANTITY]]/36</f>
        <v>80</v>
      </c>
      <c r="X1177" s="1118">
        <f>PV_DATA[[#This Row],[QUANTITY]]/PV_DATA[[#This Row],[Qty/CT]]</f>
        <v>4</v>
      </c>
      <c r="Y1177" s="432" t="s">
        <v>6650</v>
      </c>
      <c r="Z1177" s="431" t="str">
        <f t="shared" si="30"/>
        <v/>
      </c>
      <c r="AA1177" s="621" t="s">
        <v>5848</v>
      </c>
      <c r="AB1177" s="628"/>
      <c r="AC1177" s="629" t="str">
        <f>IF(PV_DATA[[#This Row],[Pick-Up Date]]&lt;&gt;"",_xlfn.ISOWEEKNUM(PV_DATA[[#This Row],[Pick-Up Date]]),"")</f>
        <v/>
      </c>
      <c r="AD1177" s="621"/>
      <c r="AE1177" s="621"/>
      <c r="AF1177" s="621" t="s">
        <v>122</v>
      </c>
      <c r="AG1177" s="621" t="s">
        <v>122</v>
      </c>
      <c r="AH1177" s="432" t="s">
        <v>68</v>
      </c>
      <c r="AI1177" s="628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628"/>
      <c r="AM1177" s="628"/>
      <c r="AN1177" s="588" t="str">
        <f>IFERROR(IF(VLOOKUP(AT1177,Vessel!A:I,9,FALSE)=0,"",VLOOKUP(AT1177,Vessel!A:I,9,FALSE)),"")</f>
        <v/>
      </c>
      <c r="AO1177" s="621"/>
      <c r="AP1177" s="621"/>
      <c r="AQ1177" s="630"/>
      <c r="AR1177" s="621"/>
      <c r="AS1177" s="621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621"/>
      <c r="AW1177" s="628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628">
        <f>IF(ISERROR(PV_DATA[[#This Row],[New Ark PO status]]),"",_xlfn.XLOOKUP(PV_DATA[[#This Row],[SPTN-PVHK New Ark PO'#]],New_Ark_Data[Purchase order Number],New_Ark_Data[Estimated time of arrival],"",0))</f>
        <v>0</v>
      </c>
      <c r="AZ1177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628">
        <f>IFERROR(PV_DATA[[#This Row],[ODP ETA Port]]+PV_DATA[[#This Row],[Customs/Leg3 Assumption]],"n/a")</f>
        <v>46355</v>
      </c>
      <c r="BB1177" s="443" t="s">
        <v>6531</v>
      </c>
      <c r="BC1177" s="443" t="s">
        <v>6531</v>
      </c>
      <c r="BD1177" s="621">
        <f>IFERROR(_xlfn.ISOWEEKNUM(PV_DATA[[#This Row],[ETA for New Ark update]]),0)</f>
        <v>48</v>
      </c>
      <c r="BE1177" s="621">
        <f>_xlfn.XLOOKUP(PV_DATA[[#This Row],[New Ark SKU]],Table9[New Ark SKU],Table9[Total PCS per Pallet],,0)</f>
        <v>36</v>
      </c>
      <c r="BF1177" s="621">
        <f>_xlfn.XLOOKUP(PV_DATA[[#This Row],[New Ark SKU]],Table9[New Ark SKU],Table9[Total PCS per 40HQ Container],,0)</f>
        <v>720</v>
      </c>
      <c r="BG1177" s="621" t="str">
        <f>_xlfn.XLOOKUP(PV_DATA[[#This Row],[New Ark SKU]],Table9[New Ark SKU],Table9[Back Glass],,0)</f>
        <v>Redirection Film</v>
      </c>
      <c r="BH1177" s="631" t="str">
        <f>_xlfn.XLOOKUP(PV_DATA[[#This Row],[PORT DESTINATION]],Table12[PORT DESTINATION],Table12[Cosco Line],,0)</f>
        <v>n/a</v>
      </c>
      <c r="BJ1177" s="431"/>
    </row>
    <row r="1178" spans="1:62" ht="10.5" hidden="1">
      <c r="A1178" s="729" t="s">
        <v>6958</v>
      </c>
      <c r="B1178" s="728" t="s">
        <v>111</v>
      </c>
      <c r="C1178" s="440" t="str">
        <f>IFERROR(LEFT(PV_DATA[[#This Row],[TCL REFERENCE]],FIND(".",PV_DATA[[#This Row],[TCL REFERENCE]],1)-1),"Main Line")</f>
        <v>26Aug010</v>
      </c>
      <c r="D1178" s="728" t="s">
        <v>113</v>
      </c>
      <c r="E1178" s="440" t="s">
        <v>144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8" s="440" t="s">
        <v>402</v>
      </c>
      <c r="H1178" s="440" t="s">
        <v>6959</v>
      </c>
      <c r="I1178" s="440" t="s">
        <v>689</v>
      </c>
      <c r="J1178" s="432" t="s">
        <v>6959</v>
      </c>
      <c r="K1178" s="621"/>
      <c r="L1178" s="621"/>
      <c r="M1178" s="432" t="s">
        <v>840</v>
      </c>
      <c r="N1178" s="632"/>
      <c r="O1178" s="621" t="s">
        <v>4526</v>
      </c>
      <c r="P1178" s="625" t="s">
        <v>6207</v>
      </c>
      <c r="Q1178" s="621" t="s">
        <v>330</v>
      </c>
      <c r="R1178" s="621" t="str">
        <f>_xlfn.XLOOKUP(PV_DATA[[#This Row],[New Ark SKU]],Table9[New Ark SKU],Table9[Connector],,0)</f>
        <v>H4(Com)</v>
      </c>
      <c r="S1178" s="622" t="str">
        <f>_xlfn.XLOOKUP(PV_DATA[[#This Row],[New Ark SKU]],Table9[New Ark SKU],Table9[Cable],,0)</f>
        <v>+400mm/-200mm</v>
      </c>
      <c r="T1178" s="622">
        <v>625</v>
      </c>
      <c r="U1178" s="1212">
        <f>720*1</f>
        <v>720</v>
      </c>
      <c r="V1178" s="626">
        <f>PV_DATA[[#This Row],[QUANTITY]]*PV_DATA[[#This Row],[WATT]]/1000000</f>
        <v>0.45</v>
      </c>
      <c r="W1178" s="467">
        <f>PV_DATA[[#This Row],[QUANTITY]]/36</f>
        <v>20</v>
      </c>
      <c r="X1178" s="1118">
        <f>PV_DATA[[#This Row],[QUANTITY]]/PV_DATA[[#This Row],[Qty/CT]]</f>
        <v>1</v>
      </c>
      <c r="Y1178" s="432" t="s">
        <v>2470</v>
      </c>
      <c r="Z1178" s="431" t="str">
        <f>IF(AN1178&lt;&gt;"","COMPLETED",IF(AK1178&lt;&gt;"","IN-TRANSIT",""))</f>
        <v/>
      </c>
      <c r="AA1178" s="621" t="s">
        <v>5848</v>
      </c>
      <c r="AB1178" s="628"/>
      <c r="AC1178" s="629" t="str">
        <f>IF(PV_DATA[[#This Row],[Pick-Up Date]]&lt;&gt;"",_xlfn.ISOWEEKNUM(PV_DATA[[#This Row],[Pick-Up Date]]),"")</f>
        <v/>
      </c>
      <c r="AD1178" s="621"/>
      <c r="AE1178" s="621"/>
      <c r="AF1178" s="621" t="s">
        <v>122</v>
      </c>
      <c r="AG1178" s="621" t="s">
        <v>122</v>
      </c>
      <c r="AH1178" s="432" t="s">
        <v>6960</v>
      </c>
      <c r="AI1178" s="628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628"/>
      <c r="AM1178" s="628"/>
      <c r="AN1178" s="588" t="str">
        <f>IFERROR(IF(VLOOKUP(AT1178,Vessel!A:I,9,FALSE)=0,"",VLOOKUP(AT1178,Vessel!A:I,9,FALSE)),"")</f>
        <v/>
      </c>
      <c r="AO1178" s="621"/>
      <c r="AP1178" s="621"/>
      <c r="AQ1178" s="630" t="s">
        <v>80</v>
      </c>
      <c r="AR1178" s="621"/>
      <c r="AS1178" s="621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621"/>
      <c r="AW1178" s="628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628">
        <f>IF(ISERROR(PV_DATA[[#This Row],[New Ark PO status]]),"",_xlfn.XLOOKUP(PV_DATA[[#This Row],[SPTN-PVHK New Ark PO'#]],New_Ark_Data[Purchase order Number],New_Ark_Data[Estimated time of arrival],"",0))</f>
        <v>0</v>
      </c>
      <c r="AZ117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8" s="628">
        <f>IFERROR(PV_DATA[[#This Row],[ODP ETA Port]]+PV_DATA[[#This Row],[Customs/Leg3 Assumption]],"n/a")</f>
        <v>0</v>
      </c>
      <c r="BB1178" s="443" t="s">
        <v>6531</v>
      </c>
      <c r="BC1178" s="443" t="s">
        <v>6531</v>
      </c>
      <c r="BD1178" s="621">
        <f>IFERROR(_xlfn.ISOWEEKNUM(PV_DATA[[#This Row],[ETA for New Ark update]]),0)</f>
        <v>52</v>
      </c>
      <c r="BE1178" s="621">
        <f>_xlfn.XLOOKUP(PV_DATA[[#This Row],[New Ark SKU]],Table9[New Ark SKU],Table9[Total PCS per Pallet],,0)</f>
        <v>36</v>
      </c>
      <c r="BF1178" s="621">
        <f>_xlfn.XLOOKUP(PV_DATA[[#This Row],[New Ark SKU]],Table9[New Ark SKU],Table9[Total PCS per 40HQ Container],,0)</f>
        <v>720</v>
      </c>
      <c r="BG1178" s="621" t="str">
        <f>_xlfn.XLOOKUP(PV_DATA[[#This Row],[New Ark SKU]],Table9[New Ark SKU],Table9[Back Glass],,0)</f>
        <v>Redirection Film</v>
      </c>
      <c r="BH1178" s="631" t="str">
        <f>_xlfn.XLOOKUP(PV_DATA[[#This Row],[PORT DESTINATION]],Table12[PORT DESTINATION],Table12[Cosco Line],,0)</f>
        <v>n/a</v>
      </c>
      <c r="BJ1178" s="431"/>
    </row>
    <row r="1179" spans="1:62" ht="10.5" hidden="1">
      <c r="A1179" s="729" t="s">
        <v>6961</v>
      </c>
      <c r="B1179" s="728" t="s">
        <v>111</v>
      </c>
      <c r="C1179" s="440" t="str">
        <f>IFERROR(LEFT(PV_DATA[[#This Row],[TCL REFERENCE]],FIND(".",PV_DATA[[#This Row],[TCL REFERENCE]],1)-1),"Main Line")</f>
        <v>Main Line</v>
      </c>
      <c r="D1179" s="728" t="s">
        <v>113</v>
      </c>
      <c r="E1179" s="440" t="s">
        <v>68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40" t="s">
        <v>68</v>
      </c>
      <c r="H1179" s="440" t="s">
        <v>68</v>
      </c>
      <c r="I1179" s="440" t="s">
        <v>68</v>
      </c>
      <c r="J1179" s="432" t="s">
        <v>68</v>
      </c>
      <c r="K1179" s="621"/>
      <c r="L1179" s="621"/>
      <c r="M1179" s="432" t="s">
        <v>68</v>
      </c>
      <c r="N1179" s="632"/>
      <c r="O1179" s="621" t="s">
        <v>4526</v>
      </c>
      <c r="P1179" s="625" t="s">
        <v>6444</v>
      </c>
      <c r="Q1179" s="621" t="s">
        <v>4593</v>
      </c>
      <c r="R1179" s="621" t="str">
        <f>_xlfn.XLOOKUP(PV_DATA[[#This Row],[New Ark SKU]],Table9[New Ark SKU],Table9[Connector],,0)</f>
        <v>H4(Com)</v>
      </c>
      <c r="S1179" s="622" t="str">
        <f>_xlfn.XLOOKUP(PV_DATA[[#This Row],[New Ark SKU]],Table9[New Ark SKU],Table9[Cable],,0)</f>
        <v>+400mm/-200mm</v>
      </c>
      <c r="T1179" s="622">
        <v>630</v>
      </c>
      <c r="U1179" s="1212" cm="1">
        <f t="array" ref="U1179">29520-fx_qty</f>
        <v>6480</v>
      </c>
      <c r="V1179" s="626">
        <f>PV_DATA[[#This Row],[QUANTITY]]*PV_DATA[[#This Row],[WATT]]/1000000</f>
        <v>4.0823999999999998</v>
      </c>
      <c r="W1179" s="467">
        <f>PV_DATA[[#This Row],[QUANTITY]]/36</f>
        <v>180</v>
      </c>
      <c r="X1179" s="1118">
        <f>PV_DATA[[#This Row],[QUANTITY]]/PV_DATA[[#This Row],[Qty/CT]]</f>
        <v>9</v>
      </c>
      <c r="Y1179" s="432" t="s">
        <v>6650</v>
      </c>
      <c r="Z1179" s="431" t="str">
        <f t="shared" si="30"/>
        <v/>
      </c>
      <c r="AA1179" s="621"/>
      <c r="AB1179" s="628"/>
      <c r="AC1179" s="629" t="str">
        <f>IF(PV_DATA[[#This Row],[Pick-Up Date]]&lt;&gt;"",_xlfn.ISOWEEKNUM(PV_DATA[[#This Row],[Pick-Up Date]]),"")</f>
        <v/>
      </c>
      <c r="AD1179" s="621"/>
      <c r="AE1179" s="621"/>
      <c r="AF1179" s="621" t="s">
        <v>122</v>
      </c>
      <c r="AG1179" s="621" t="s">
        <v>122</v>
      </c>
      <c r="AH1179" s="431" t="s">
        <v>68</v>
      </c>
      <c r="AI1179" s="628"/>
      <c r="AJ1179" s="438" t="str">
        <f>IFERROR(VLOOKUP(AT1179, Vessel!A:D, 4, FALSE), "")</f>
        <v/>
      </c>
      <c r="AK1179" s="438" t="str">
        <f>IFERROR(IF(VLOOKUP(AT1179,Vessel!A:F,5,FALSE)=0,"",VLOOKUP(AT1179,Vessel!A:F,5,FALSE)),"")</f>
        <v/>
      </c>
      <c r="AL1179" s="628"/>
      <c r="AM1179" s="628"/>
      <c r="AN1179" s="588" t="str">
        <f>IFERROR(IF(VLOOKUP(AT1179,Vessel!A:I,9,FALSE)=0,"",VLOOKUP(AT1179,Vessel!A:I,9,FALSE)),"")</f>
        <v/>
      </c>
      <c r="AO1179" s="621"/>
      <c r="AP1179" s="621"/>
      <c r="AQ1179" s="630"/>
      <c r="AR1179" s="621"/>
      <c r="AS1179" s="621"/>
      <c r="AT1179" s="432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621"/>
      <c r="AW1179" s="628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8">
        <f>IF(ISERROR(PV_DATA[[#This Row],[New Ark PO status]]),"",_xlfn.XLOOKUP(PV_DATA[[#This Row],[SPTN-PVHK New Ark PO'#]],New_Ark_Data[Purchase order Number],New_Ark_Data[Estimated time of arrival],"",0))</f>
        <v>0</v>
      </c>
      <c r="AZ117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628" t="str">
        <f>IFERROR(PV_DATA[[#This Row],[ODP ETA Port]]+PV_DATA[[#This Row],[Customs/Leg3 Assumption]],"n/a")</f>
        <v>n/a</v>
      </c>
      <c r="BB1179" s="622" t="e">
        <f>YEAR(PV_DATA[[#This Row],[ETA for New Ark update]])</f>
        <v>#VALUE!</v>
      </c>
      <c r="BC1179" s="621" t="e">
        <f>MONTH(PV_DATA[[#This Row],[ETA for New Ark update]])</f>
        <v>#VALUE!</v>
      </c>
      <c r="BD1179" s="621">
        <f>IFERROR(_xlfn.ISOWEEKNUM(PV_DATA[[#This Row],[ETA for New Ark update]]),0)</f>
        <v>0</v>
      </c>
      <c r="BE1179" s="621">
        <f>_xlfn.XLOOKUP(PV_DATA[[#This Row],[New Ark SKU]],Table9[New Ark SKU],Table9[Total PCS per Pallet],,0)</f>
        <v>36</v>
      </c>
      <c r="BF1179" s="621">
        <f>_xlfn.XLOOKUP(PV_DATA[[#This Row],[New Ark SKU]],Table9[New Ark SKU],Table9[Total PCS per 40HQ Container],,0)</f>
        <v>720</v>
      </c>
      <c r="BG1179" s="621" t="str">
        <f>_xlfn.XLOOKUP(PV_DATA[[#This Row],[New Ark SKU]],Table9[New Ark SKU],Table9[Back Glass],,0)</f>
        <v>Redirection Film</v>
      </c>
      <c r="BH1179" s="631" t="str">
        <f>_xlfn.XLOOKUP(PV_DATA[[#This Row],[PORT DESTINATION]],Table12[PORT DESTINATION],Table12[Cosco Line],,0)</f>
        <v>n/a</v>
      </c>
      <c r="BJ1179" s="431"/>
    </row>
    <row r="1180" spans="1:62" ht="10.5" hidden="1">
      <c r="A1180" s="1263" t="s">
        <v>6962</v>
      </c>
      <c r="B1180" s="728" t="s">
        <v>111</v>
      </c>
      <c r="C1180" s="440" t="str">
        <f>IFERROR(LEFT(PV_DATA[[#This Row],[TCL REFERENCE]],FIND(".",PV_DATA[[#This Row],[TCL REFERENCE]],1)-1),"Main Line")</f>
        <v>26Aug025</v>
      </c>
      <c r="D1180" s="728" t="s">
        <v>113</v>
      </c>
      <c r="E1180" s="440" t="s">
        <v>144</v>
      </c>
      <c r="F1180" s="728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0" s="440" t="s">
        <v>156</v>
      </c>
      <c r="H1180" s="440" t="s">
        <v>941</v>
      </c>
      <c r="I1180" s="463" t="s">
        <v>689</v>
      </c>
      <c r="J1180" s="954" t="s">
        <v>6963</v>
      </c>
      <c r="K1180" s="621"/>
      <c r="L1180" s="621"/>
      <c r="M1180" s="952" t="s">
        <v>6719</v>
      </c>
      <c r="N1180" s="632"/>
      <c r="O1180" s="621" t="s">
        <v>4526</v>
      </c>
      <c r="P1180" s="625" t="s">
        <v>6444</v>
      </c>
      <c r="Q1180" s="621" t="s">
        <v>4593</v>
      </c>
      <c r="R1180" s="621" t="str">
        <f>_xlfn.XLOOKUP(PV_DATA[[#This Row],[New Ark SKU]],Table9[New Ark SKU],Table9[Connector],,0)</f>
        <v>H4(Com)</v>
      </c>
      <c r="S1180" s="622" t="str">
        <f>_xlfn.XLOOKUP(PV_DATA[[#This Row],[New Ark SKU]],Table9[New Ark SKU],Table9[Cable],,0)</f>
        <v>+400mm/-200mm</v>
      </c>
      <c r="T1180" s="622">
        <v>630</v>
      </c>
      <c r="U1180" s="1212">
        <f>720</f>
        <v>720</v>
      </c>
      <c r="V1180" s="626">
        <f>PV_DATA[[#This Row],[QUANTITY]]*PV_DATA[[#This Row],[WATT]]/1000000</f>
        <v>0.4536</v>
      </c>
      <c r="W1180" s="467">
        <f>PV_DATA[[#This Row],[QUANTITY]]/36</f>
        <v>20</v>
      </c>
      <c r="X1180" s="1118">
        <f>PV_DATA[[#This Row],[QUANTITY]]/PV_DATA[[#This Row],[Qty/CT]]</f>
        <v>1</v>
      </c>
      <c r="Y1180" s="432" t="s">
        <v>2468</v>
      </c>
      <c r="Z1180" s="431" t="str">
        <f t="shared" si="30"/>
        <v>IN-TRANSIT</v>
      </c>
      <c r="AA1180" s="621"/>
      <c r="AB1180" s="628">
        <v>46269</v>
      </c>
      <c r="AC1180" s="629">
        <f>IF(PV_DATA[[#This Row],[Pick-Up Date]]&lt;&gt;"",_xlfn.ISOWEEKNUM(PV_DATA[[#This Row],[Pick-Up Date]]),"")</f>
        <v>36</v>
      </c>
      <c r="AD1180" s="621"/>
      <c r="AE1180" s="621"/>
      <c r="AF1180" s="621" t="s">
        <v>122</v>
      </c>
      <c r="AG1180" s="621" t="s">
        <v>122</v>
      </c>
      <c r="AH1180" s="431" t="s">
        <v>6964</v>
      </c>
      <c r="AI1180" s="628">
        <v>46273</v>
      </c>
      <c r="AJ1180" s="438">
        <v>46274</v>
      </c>
      <c r="AK1180" s="438">
        <v>46275</v>
      </c>
      <c r="AL1180" s="628">
        <v>46285</v>
      </c>
      <c r="AM1180" s="628">
        <v>46291</v>
      </c>
      <c r="AN1180" s="588"/>
      <c r="AO1180" s="621" t="s">
        <v>156</v>
      </c>
      <c r="AP1180" s="621" t="s">
        <v>6965</v>
      </c>
      <c r="AQ1180" s="630" t="s">
        <v>161</v>
      </c>
      <c r="AR1180" s="621" t="s">
        <v>6966</v>
      </c>
      <c r="AS1180" s="621">
        <v>802581991</v>
      </c>
      <c r="AT1180" s="432">
        <v>802581991</v>
      </c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80" s="621"/>
      <c r="AW1180" s="628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8">
        <f>IF(ISERROR(PV_DATA[[#This Row],[New Ark PO status]]),"",_xlfn.XLOOKUP(PV_DATA[[#This Row],[SPTN-PVHK New Ark PO'#]],New_Ark_Data[Purchase order Number],New_Ark_Data[Estimated time of arrival],"",0))</f>
        <v>0</v>
      </c>
      <c r="AZ118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0" s="628">
        <f>IFERROR(PV_DATA[[#This Row],[ODP ETA Port]]+PV_DATA[[#This Row],[Customs/Leg3 Assumption]],"n/a")</f>
        <v>46291</v>
      </c>
      <c r="BB1180" s="622">
        <f>YEAR(PV_DATA[[#This Row],[ETA for New Ark update]])</f>
        <v>2026</v>
      </c>
      <c r="BC1180" s="621">
        <f>MONTH(PV_DATA[[#This Row],[ETA for New Ark update]])</f>
        <v>9</v>
      </c>
      <c r="BD1180" s="621">
        <f>IFERROR(_xlfn.ISOWEEKNUM(PV_DATA[[#This Row],[ETA for New Ark update]]),0)</f>
        <v>39</v>
      </c>
      <c r="BE1180" s="621">
        <f>_xlfn.XLOOKUP(PV_DATA[[#This Row],[New Ark SKU]],Table9[New Ark SKU],Table9[Total PCS per Pallet],,0)</f>
        <v>36</v>
      </c>
      <c r="BF1180" s="621">
        <f>_xlfn.XLOOKUP(PV_DATA[[#This Row],[New Ark SKU]],Table9[New Ark SKU],Table9[Total PCS per 40HQ Container],,0)</f>
        <v>720</v>
      </c>
      <c r="BG1180" s="621" t="str">
        <f>_xlfn.XLOOKUP(PV_DATA[[#This Row],[New Ark SKU]],Table9[New Ark SKU],Table9[Back Glass],,0)</f>
        <v>Redirection Film</v>
      </c>
      <c r="BH1180" s="631" t="str">
        <f>_xlfn.XLOOKUP(PV_DATA[[#This Row],[PORT DESTINATION]],Table12[PORT DESTINATION],Table12[Cosco Line],,0)</f>
        <v>n/a</v>
      </c>
      <c r="BJ1180" s="431"/>
    </row>
    <row r="1181" spans="1:62" ht="10.5" hidden="1">
      <c r="A1181" s="729" t="s">
        <v>6967</v>
      </c>
      <c r="B1181" s="440" t="s">
        <v>61</v>
      </c>
      <c r="C1181" s="440" t="str">
        <f>IFERROR(LEFT(PV_DATA[[#This Row],[TCL REFERENCE]],FIND(".",PV_DATA[[#This Row],[TCL REFERENCE]],1)-1),"Main Line")</f>
        <v>Main Line</v>
      </c>
      <c r="D1181" s="728" t="s">
        <v>113</v>
      </c>
      <c r="E1181" s="440" t="s">
        <v>144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1" s="440" t="s">
        <v>156</v>
      </c>
      <c r="H1181" s="440" t="s">
        <v>670</v>
      </c>
      <c r="I1181" s="440" t="s">
        <v>1395</v>
      </c>
      <c r="J1181" s="440" t="s">
        <v>670</v>
      </c>
      <c r="K1181" s="432" t="s">
        <v>6968</v>
      </c>
      <c r="L1181" s="432"/>
      <c r="M1181" s="451" t="s">
        <v>5943</v>
      </c>
      <c r="N1181" s="462"/>
      <c r="O1181" s="432" t="s">
        <v>284</v>
      </c>
      <c r="P1181" s="431" t="s">
        <v>6969</v>
      </c>
      <c r="Q1181" s="432" t="s">
        <v>1570</v>
      </c>
      <c r="R1181" s="432" t="str">
        <f>_xlfn.XLOOKUP(PV_DATA[[#This Row],[New Ark SKU]],Table9[New Ark SKU],Table9[Connector],,0)</f>
        <v>H4(Com)</v>
      </c>
      <c r="S1181" s="443" t="str">
        <f>_xlfn.XLOOKUP(PV_DATA[[#This Row],[New Ark SKU]],Table9[New Ark SKU],Table9[Cable],,0)</f>
        <v>+400mm/-200mm</v>
      </c>
      <c r="T1181" s="443">
        <v>650</v>
      </c>
      <c r="U1181" s="1212" cm="1">
        <f t="array" ref="U1181">36000-fx_qty</f>
        <v>0</v>
      </c>
      <c r="V1181" s="449">
        <f>PV_DATA[[#This Row],[QUANTITY]]*PV_DATA[[#This Row],[WATT]]/1000000</f>
        <v>0</v>
      </c>
      <c r="W1181" s="467">
        <f>PV_DATA[[#This Row],[QUANTITY]]/PV_DATA[[#This Row],[Qty/Pallet]]</f>
        <v>0</v>
      </c>
      <c r="X1181" s="1114">
        <f>PV_DATA[[#This Row],[QUANTITY]]/PV_DATA[[#This Row],[Qty/CT]]</f>
        <v>0</v>
      </c>
      <c r="Y1181" s="432" t="s">
        <v>6650</v>
      </c>
      <c r="Z1181" s="432" t="str">
        <f t="shared" si="30"/>
        <v/>
      </c>
      <c r="AA1181" s="663"/>
      <c r="AB1181" s="442"/>
      <c r="AC1181" s="468" t="str">
        <f>IF(PV_DATA[[#This Row],[Pick-Up Date]]&lt;&gt;"",_xlfn.ISOWEEKNUM(PV_DATA[[#This Row],[Pick-Up Date]]),"")</f>
        <v/>
      </c>
      <c r="AD1181" s="432"/>
      <c r="AE1181" s="432"/>
      <c r="AF1181" s="432" t="s">
        <v>77</v>
      </c>
      <c r="AG1181" s="432" t="s">
        <v>77</v>
      </c>
      <c r="AH1181" s="431" t="s">
        <v>105</v>
      </c>
      <c r="AI1181" s="442"/>
      <c r="AJ1181" s="438" t="str">
        <f>IFERROR(VLOOKUP(AT1181, Vessel!A:D, 4, FALSE), "")</f>
        <v/>
      </c>
      <c r="AK1181" s="438" t="str">
        <f>IFERROR(IF(VLOOKUP(AT1181,Vessel!A:F,5,FALSE)=0,"",VLOOKUP(AT1181,Vessel!A:F,5,FALSE)),"")</f>
        <v/>
      </c>
      <c r="AL1181" s="442"/>
      <c r="AM1181" s="442"/>
      <c r="AN1181" s="588" t="str">
        <f>IFERROR(IF(VLOOKUP(AT1181,Vessel!A:I,9,FALSE)=0,"",VLOOKUP(AT1181,Vessel!A:I,9,FALSE)),"")</f>
        <v/>
      </c>
      <c r="AO1181" s="432"/>
      <c r="AP1181" s="432"/>
      <c r="AQ1181" s="446"/>
      <c r="AR1181" s="432"/>
      <c r="AS1181" s="432"/>
      <c r="AT1181" s="432"/>
      <c r="AU1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2"/>
      <c r="AW1181" s="442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2" t="str">
        <f>IF(ISERROR(PV_DATA[[#This Row],[New Ark PO status]]),"",_xlfn.XLOOKUP(PV_DATA[[#This Row],[SPTN-PVHK New Ark PO'#]],New_Ark_Data[Purchase order Number],New_Ark_Data[Estimated time of arrival],"",0))</f>
        <v/>
      </c>
      <c r="AZ11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1" s="442" t="str">
        <f>IFERROR(PV_DATA[[#This Row],[ODP ETA Port]]+PV_DATA[[#This Row],[Customs/Leg3 Assumption]],"n/a")</f>
        <v>n/a</v>
      </c>
      <c r="BB1181" s="443" t="s">
        <v>6273</v>
      </c>
      <c r="BC1181" s="443" t="s">
        <v>6273</v>
      </c>
      <c r="BD1181" s="432">
        <f>IFERROR(_xlfn.ISOWEEKNUM(PV_DATA[[#This Row],[ETA for New Ark update]]),0)</f>
        <v>0</v>
      </c>
      <c r="BE1181" s="432">
        <f>_xlfn.XLOOKUP(PV_DATA[[#This Row],[New Ark SKU]],Table9[New Ark SKU],Table9[Total PCS per Pallet],,0)</f>
        <v>36</v>
      </c>
      <c r="BF1181" s="432">
        <f>_xlfn.XLOOKUP(PV_DATA[[#This Row],[New Ark SKU]],Table9[New Ark SKU],Table9[Total PCS per 40HQ Container],,0)</f>
        <v>720</v>
      </c>
      <c r="BG1181" s="432" t="str">
        <f>_xlfn.XLOOKUP(PV_DATA[[#This Row],[New Ark SKU]],Table9[New Ark SKU],Table9[Back Glass],,0)</f>
        <v>White glazing</v>
      </c>
      <c r="BH1181" s="624" t="str">
        <f>_xlfn.XLOOKUP(PV_DATA[[#This Row],[PORT DESTINATION]],Table12[PORT DESTINATION],Table12[Cosco Line],,0)</f>
        <v>AEU</v>
      </c>
      <c r="BJ1181" s="431"/>
    </row>
    <row r="1182" spans="1:62" ht="10.5" hidden="1">
      <c r="A1182" s="1403" t="s">
        <v>6970</v>
      </c>
      <c r="B1182" s="440" t="s">
        <v>61</v>
      </c>
      <c r="C1182" s="440" t="str">
        <f>IFERROR(LEFT(PV_DATA[[#This Row],[TCL REFERENCE]],FIND(".",PV_DATA[[#This Row],[TCL REFERENCE]],1)-1),"Main Line")</f>
        <v>26Aug011</v>
      </c>
      <c r="D1182" s="728" t="s">
        <v>113</v>
      </c>
      <c r="E1182" s="447" t="s">
        <v>144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40" t="s">
        <v>156</v>
      </c>
      <c r="H1182" s="440" t="s">
        <v>670</v>
      </c>
      <c r="I1182" s="440" t="s">
        <v>1395</v>
      </c>
      <c r="J1182" s="440" t="s">
        <v>670</v>
      </c>
      <c r="K1182" s="432" t="s">
        <v>6968</v>
      </c>
      <c r="L1182" s="432">
        <v>1</v>
      </c>
      <c r="M1182" s="451" t="s">
        <v>5943</v>
      </c>
      <c r="N1182" s="462"/>
      <c r="O1182" s="432" t="s">
        <v>284</v>
      </c>
      <c r="P1182" s="451" t="s">
        <v>6969</v>
      </c>
      <c r="Q1182" s="432" t="s">
        <v>1570</v>
      </c>
      <c r="R1182" s="432" t="str">
        <f>_xlfn.XLOOKUP(PV_DATA[[#This Row],[New Ark SKU]],Table9[New Ark SKU],Table9[Connector],,0)</f>
        <v>H4(Com)</v>
      </c>
      <c r="S1182" s="443" t="str">
        <f>_xlfn.XLOOKUP(PV_DATA[[#This Row],[New Ark SKU]],Table9[New Ark SKU],Table9[Cable],,0)</f>
        <v>+400mm/-200mm</v>
      </c>
      <c r="T1182" s="443">
        <v>650</v>
      </c>
      <c r="U1182" s="1208">
        <v>1440</v>
      </c>
      <c r="V1182" s="449">
        <f>PV_DATA[[#This Row],[QUANTITY]]*PV_DATA[[#This Row],[WATT]]/1000000</f>
        <v>0.93600000000000005</v>
      </c>
      <c r="W1182" s="467">
        <f>PV_DATA[[#This Row],[QUANTITY]]/PV_DATA[[#This Row],[Qty/Pallet]]</f>
        <v>40</v>
      </c>
      <c r="X1182" s="1114">
        <f>PV_DATA[[#This Row],[QUANTITY]]/PV_DATA[[#This Row],[Qty/CT]]</f>
        <v>2</v>
      </c>
      <c r="Y1182" s="432" t="s">
        <v>2467</v>
      </c>
      <c r="Z1182" s="432" t="str">
        <f t="shared" ref="Z1182" si="31">IF(AN1182&lt;&gt;"","COMPLETED",IF(AK1182&lt;&gt;"","IN-TRANSIT",""))</f>
        <v/>
      </c>
      <c r="AA1182" s="663">
        <v>46268</v>
      </c>
      <c r="AB1182" s="1023">
        <v>46269</v>
      </c>
      <c r="AC1182" s="468">
        <f>IF(PV_DATA[[#This Row],[Pick-Up Date]]&lt;&gt;"",_xlfn.ISOWEEKNUM(PV_DATA[[#This Row],[Pick-Up Date]]),"")</f>
        <v>36</v>
      </c>
      <c r="AD1182" s="432" t="s">
        <v>6971</v>
      </c>
      <c r="AE1182" s="432"/>
      <c r="AF1182" s="432" t="s">
        <v>77</v>
      </c>
      <c r="AG1182" s="432" t="s">
        <v>77</v>
      </c>
      <c r="AH1182" s="431" t="s">
        <v>105</v>
      </c>
      <c r="AI1182" s="1023">
        <v>46272</v>
      </c>
      <c r="AJ1182" s="1023">
        <v>46277</v>
      </c>
      <c r="AK1182" s="442"/>
      <c r="AL1182" s="628">
        <v>46319</v>
      </c>
      <c r="AM1182" s="442"/>
      <c r="AN1182" s="588"/>
      <c r="AO1182" s="432" t="s">
        <v>156</v>
      </c>
      <c r="AP1182" s="432" t="s">
        <v>6972</v>
      </c>
      <c r="AQ1182" s="446" t="s">
        <v>161</v>
      </c>
      <c r="AR1182" s="432" t="s">
        <v>6973</v>
      </c>
      <c r="AS1182" s="432" t="s">
        <v>6974</v>
      </c>
      <c r="AT1182" s="432" t="s">
        <v>6975</v>
      </c>
      <c r="AU1182" s="432"/>
      <c r="AV1182" s="432"/>
      <c r="AW1182" s="442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 t="str">
        <f>IF(ISERROR(PV_DATA[[#This Row],[New Ark PO status]]),"",_xlfn.XLOOKUP(PV_DATA[[#This Row],[SPTN-PVHK New Ark PO'#]],New_Ark_Data[Purchase order Number],New_Ark_Data[Estimated time of arrival],"",0))</f>
        <v/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456">
        <f>IFERROR(PV_DATA[[#This Row],[ODP ETA Port]]+PV_DATA[[#This Row],[Customs/Leg3 Assumption]],"n/a")</f>
        <v>46319</v>
      </c>
      <c r="BB1182" s="443">
        <f>YEAR(PV_DATA[[#This Row],[ETA for New Ark update]])</f>
        <v>2026</v>
      </c>
      <c r="BC1182" s="432">
        <f>MONTH(PV_DATA[[#This Row],[ETA for New Ark update]])</f>
        <v>10</v>
      </c>
      <c r="BD1182" s="432">
        <f>IFERROR(_xlfn.ISOWEEKNUM(PV_DATA[[#This Row],[ETA for New Ark update]]),0)</f>
        <v>43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720</v>
      </c>
      <c r="BG1182" s="432" t="str">
        <f>_xlfn.XLOOKUP(PV_DATA[[#This Row],[New Ark SKU]],Table9[New Ark SKU],Table9[Back Glass],,0)</f>
        <v>White glazing</v>
      </c>
      <c r="BH1182" s="624" t="str">
        <f>_xlfn.XLOOKUP(PV_DATA[[#This Row],[PORT DESTINATION]],Table12[PORT DESTINATION],Table12[Cosco Line],,0)</f>
        <v>AEU</v>
      </c>
      <c r="BJ1182" s="431"/>
    </row>
    <row r="1183" spans="1:62" ht="10.5" hidden="1">
      <c r="A1183" s="1263" t="s">
        <v>6976</v>
      </c>
      <c r="B1183" s="440" t="s">
        <v>61</v>
      </c>
      <c r="C1183" s="440" t="str">
        <f>IFERROR(LEFT(PV_DATA[[#This Row],[TCL REFERENCE]],FIND(".",PV_DATA[[#This Row],[TCL REFERENCE]],1)-1),"Main Line")</f>
        <v>26Aug012</v>
      </c>
      <c r="D1183" s="728" t="s">
        <v>113</v>
      </c>
      <c r="E1183" s="440" t="s">
        <v>144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3" s="440" t="s">
        <v>156</v>
      </c>
      <c r="H1183" s="440" t="s">
        <v>670</v>
      </c>
      <c r="I1183" s="440" t="s">
        <v>1395</v>
      </c>
      <c r="J1183" s="440" t="s">
        <v>670</v>
      </c>
      <c r="K1183" s="432" t="s">
        <v>6968</v>
      </c>
      <c r="L1183" s="432">
        <v>2</v>
      </c>
      <c r="M1183" s="451" t="s">
        <v>5943</v>
      </c>
      <c r="N1183" s="462"/>
      <c r="O1183" s="432" t="s">
        <v>284</v>
      </c>
      <c r="P1183" s="431" t="s">
        <v>6977</v>
      </c>
      <c r="Q1183" s="432" t="s">
        <v>5341</v>
      </c>
      <c r="R1183" s="432" t="str">
        <f>_xlfn.XLOOKUP(PV_DATA[[#This Row],[New Ark SKU]],Table9[New Ark SKU],Table9[Connector],,0)</f>
        <v>H4(Com)</v>
      </c>
      <c r="S1183" s="443" t="str">
        <f>_xlfn.XLOOKUP(PV_DATA[[#This Row],[New Ark SKU]],Table9[New Ark SKU],Table9[Cable],,0)</f>
        <v>+400mm/-200mm</v>
      </c>
      <c r="T1183" s="443">
        <v>655</v>
      </c>
      <c r="U1183" s="1212">
        <v>2160</v>
      </c>
      <c r="V1183" s="449">
        <f>PV_DATA[[#This Row],[QUANTITY]]*PV_DATA[[#This Row],[WATT]]/1000000</f>
        <v>1.4148000000000001</v>
      </c>
      <c r="W1183" s="467">
        <f>PV_DATA[[#This Row],[QUANTITY]]/PV_DATA[[#This Row],[Qty/Pallet]]</f>
        <v>60</v>
      </c>
      <c r="X1183" s="1114">
        <f>PV_DATA[[#This Row],[QUANTITY]]/PV_DATA[[#This Row],[Qty/CT]]</f>
        <v>3</v>
      </c>
      <c r="Y1183" s="432" t="s">
        <v>2467</v>
      </c>
      <c r="Z1183" s="432" t="str">
        <f>IF(AN1183&lt;&gt;"","COMPLETED",IF(AK1183&lt;&gt;"","IN-TRANSIT",""))</f>
        <v/>
      </c>
      <c r="AA1183" s="663">
        <v>46277</v>
      </c>
      <c r="AB1183" s="1023">
        <v>46269</v>
      </c>
      <c r="AC1183" s="468">
        <f>IF(PV_DATA[[#This Row],[Pick-Up Date]]&lt;&gt;"",_xlfn.ISOWEEKNUM(PV_DATA[[#This Row],[Pick-Up Date]]),"")</f>
        <v>36</v>
      </c>
      <c r="AD1183" s="432" t="s">
        <v>6978</v>
      </c>
      <c r="AE1183" s="432"/>
      <c r="AF1183" s="432" t="s">
        <v>77</v>
      </c>
      <c r="AG1183" s="432" t="s">
        <v>77</v>
      </c>
      <c r="AH1183" s="431" t="s">
        <v>105</v>
      </c>
      <c r="AI1183" s="1023">
        <v>46272</v>
      </c>
      <c r="AJ1183" s="1023">
        <v>46277</v>
      </c>
      <c r="AK1183" s="438"/>
      <c r="AL1183" s="628">
        <v>46319</v>
      </c>
      <c r="AM1183" s="442"/>
      <c r="AN1183" s="588"/>
      <c r="AO1183" s="432" t="s">
        <v>156</v>
      </c>
      <c r="AP1183" s="432" t="s">
        <v>6972</v>
      </c>
      <c r="AQ1183" s="446" t="s">
        <v>161</v>
      </c>
      <c r="AR1183" s="432" t="s">
        <v>6973</v>
      </c>
      <c r="AS1183" s="432" t="s">
        <v>6974</v>
      </c>
      <c r="AT1183" s="432" t="s">
        <v>6975</v>
      </c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83" s="432"/>
      <c r="AW1183" s="442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 t="str">
        <f>IF(ISERROR(PV_DATA[[#This Row],[New Ark PO status]]),"",_xlfn.XLOOKUP(PV_DATA[[#This Row],[SPTN-PVHK New Ark PO'#]],New_Ark_Data[Purchase order Number],New_Ark_Data[Estimated time of arrival],"",0))</f>
        <v/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3" s="442">
        <f>IFERROR(PV_DATA[[#This Row],[ODP ETA Port]]+PV_DATA[[#This Row],[Customs/Leg3 Assumption]],"n/a")</f>
        <v>46319</v>
      </c>
      <c r="BB1183" s="443" t="s">
        <v>6531</v>
      </c>
      <c r="BC1183" s="443" t="s">
        <v>6531</v>
      </c>
      <c r="BD1183" s="432">
        <f>IFERROR(_xlfn.ISOWEEKNUM(PV_DATA[[#This Row],[ETA for New Ark update]]),0)</f>
        <v>43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720</v>
      </c>
      <c r="BG1183" s="432" t="str">
        <f>_xlfn.XLOOKUP(PV_DATA[[#This Row],[New Ark SKU]],Table9[New Ark SKU],Table9[Back Glass],,0)</f>
        <v>White glazing</v>
      </c>
      <c r="BH1183" s="624" t="str">
        <f>_xlfn.XLOOKUP(PV_DATA[[#This Row],[PORT DESTINATION]],Table12[PORT DESTINATION],Table12[Cosco Line],,0)</f>
        <v>AEU</v>
      </c>
      <c r="BJ1183" s="431"/>
    </row>
    <row r="1184" spans="1:62" ht="10.5" hidden="1">
      <c r="A1184" s="1263" t="s">
        <v>6979</v>
      </c>
      <c r="B1184" s="440" t="s">
        <v>61</v>
      </c>
      <c r="C1184" s="440" t="str">
        <f>IFERROR(LEFT(PV_DATA[[#This Row],[TCL REFERENCE]],FIND(".",PV_DATA[[#This Row],[TCL REFERENCE]],1)-1),"Main Line")</f>
        <v>26Aug011</v>
      </c>
      <c r="D1184" s="728" t="s">
        <v>113</v>
      </c>
      <c r="E1184" s="440" t="s">
        <v>144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4" s="440" t="s">
        <v>156</v>
      </c>
      <c r="H1184" s="440" t="s">
        <v>670</v>
      </c>
      <c r="I1184" s="440" t="s">
        <v>1395</v>
      </c>
      <c r="J1184" s="440" t="s">
        <v>670</v>
      </c>
      <c r="K1184" s="432" t="s">
        <v>6968</v>
      </c>
      <c r="L1184" s="432">
        <v>7</v>
      </c>
      <c r="M1184" s="451" t="s">
        <v>840</v>
      </c>
      <c r="N1184" s="462"/>
      <c r="O1184" s="432" t="s">
        <v>284</v>
      </c>
      <c r="P1184" s="431" t="s">
        <v>6969</v>
      </c>
      <c r="Q1184" s="432" t="s">
        <v>1570</v>
      </c>
      <c r="R1184" s="432" t="str">
        <f>_xlfn.XLOOKUP(PV_DATA[[#This Row],[New Ark SKU]],Table9[New Ark SKU],Table9[Connector],,0)</f>
        <v>H4(Com)</v>
      </c>
      <c r="S1184" s="443" t="str">
        <f>_xlfn.XLOOKUP(PV_DATA[[#This Row],[New Ark SKU]],Table9[New Ark SKU],Table9[Cable],,0)</f>
        <v>+400mm/-200mm</v>
      </c>
      <c r="T1184" s="443">
        <v>650</v>
      </c>
      <c r="U1184" s="1212">
        <f>720*9</f>
        <v>6480</v>
      </c>
      <c r="V1184" s="449">
        <f>PV_DATA[[#This Row],[QUANTITY]]*PV_DATA[[#This Row],[WATT]]/1000000</f>
        <v>4.2119999999999997</v>
      </c>
      <c r="W1184" s="467">
        <f>PV_DATA[[#This Row],[QUANTITY]]/PV_DATA[[#This Row],[Qty/Pallet]]</f>
        <v>180</v>
      </c>
      <c r="X1184" s="1114">
        <f>PV_DATA[[#This Row],[QUANTITY]]/PV_DATA[[#This Row],[Qty/CT]]</f>
        <v>9</v>
      </c>
      <c r="Y1184" s="432" t="s">
        <v>2467</v>
      </c>
      <c r="Z1184" s="432" t="str">
        <f>IF(AN1184&lt;&gt;"","COMPLETED",IF(AK1184&lt;&gt;"","IN-TRANSIT",""))</f>
        <v/>
      </c>
      <c r="AA1184" s="663">
        <v>46268</v>
      </c>
      <c r="AB1184" s="1023">
        <v>46273</v>
      </c>
      <c r="AC1184" s="468">
        <f>IF(PV_DATA[[#This Row],[Pick-Up Date]]&lt;&gt;"",_xlfn.ISOWEEKNUM(PV_DATA[[#This Row],[Pick-Up Date]]),"")</f>
        <v>37</v>
      </c>
      <c r="AD1184" s="432" t="s">
        <v>6980</v>
      </c>
      <c r="AE1184" s="432"/>
      <c r="AF1184" s="432" t="s">
        <v>77</v>
      </c>
      <c r="AG1184" s="432" t="s">
        <v>77</v>
      </c>
      <c r="AH1184" s="431" t="s">
        <v>105</v>
      </c>
      <c r="AI1184" s="1023">
        <v>46279</v>
      </c>
      <c r="AK1184" s="438"/>
      <c r="AL1184" s="1023">
        <v>46327</v>
      </c>
      <c r="AM1184" s="442"/>
      <c r="AN1184" s="588"/>
      <c r="AO1184" s="432" t="s">
        <v>156</v>
      </c>
      <c r="AP1184" s="432" t="s">
        <v>6981</v>
      </c>
      <c r="AQ1184" s="446" t="s">
        <v>161</v>
      </c>
      <c r="AR1184" s="432" t="s">
        <v>6982</v>
      </c>
      <c r="AS1184" s="432" t="s">
        <v>6983</v>
      </c>
      <c r="AT1184" s="432" t="s">
        <v>6984</v>
      </c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4" s="432"/>
      <c r="AW1184" s="442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 t="str">
        <f>IF(ISERROR(PV_DATA[[#This Row],[New Ark PO status]]),"",_xlfn.XLOOKUP(PV_DATA[[#This Row],[SPTN-PVHK New Ark PO'#]],New_Ark_Data[Purchase order Number],New_Ark_Data[Estimated time of arrival],"",0))</f>
        <v/>
      </c>
      <c r="AZ11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4" s="442">
        <f>IFERROR(PV_DATA[[#This Row],[ODP ETA Port]]+PV_DATA[[#This Row],[Customs/Leg3 Assumption]],"n/a")</f>
        <v>46327</v>
      </c>
      <c r="BB1184" s="443" t="s">
        <v>6531</v>
      </c>
      <c r="BC1184" s="443" t="s">
        <v>6531</v>
      </c>
      <c r="BD1184" s="432">
        <f>IFERROR(_xlfn.ISOWEEKNUM(PV_DATA[[#This Row],[ETA for New Ark update]]),0)</f>
        <v>44</v>
      </c>
      <c r="BE1184" s="432">
        <f>_xlfn.XLOOKUP(PV_DATA[[#This Row],[New Ark SKU]],Table9[New Ark SKU],Table9[Total PCS per Pallet],,0)</f>
        <v>36</v>
      </c>
      <c r="BF1184" s="432">
        <f>_xlfn.XLOOKUP(PV_DATA[[#This Row],[New Ark SKU]],Table9[New Ark SKU],Table9[Total PCS per 40HQ Container],,0)</f>
        <v>720</v>
      </c>
      <c r="BG1184" s="432" t="str">
        <f>_xlfn.XLOOKUP(PV_DATA[[#This Row],[New Ark SKU]],Table9[New Ark SKU],Table9[Back Glass],,0)</f>
        <v>White glazing</v>
      </c>
      <c r="BH1184" s="624" t="str">
        <f>_xlfn.XLOOKUP(PV_DATA[[#This Row],[PORT DESTINATION]],Table12[PORT DESTINATION],Table12[Cosco Line],,0)</f>
        <v>AEU</v>
      </c>
      <c r="BJ1184" s="431"/>
    </row>
    <row r="1185" spans="1:62" ht="10.5" hidden="1">
      <c r="A1185" s="1263" t="s">
        <v>6985</v>
      </c>
      <c r="B1185" s="440" t="s">
        <v>61</v>
      </c>
      <c r="C1185" s="440" t="str">
        <f>IFERROR(LEFT(PV_DATA[[#This Row],[TCL REFERENCE]],FIND(".",PV_DATA[[#This Row],[TCL REFERENCE]],1)-1),"Main Line")</f>
        <v>Main Line</v>
      </c>
      <c r="D1185" s="728" t="s">
        <v>113</v>
      </c>
      <c r="E1185" s="440" t="s">
        <v>144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5" s="440" t="s">
        <v>156</v>
      </c>
      <c r="H1185" s="440" t="s">
        <v>670</v>
      </c>
      <c r="I1185" s="440" t="s">
        <v>1395</v>
      </c>
      <c r="J1185" s="440" t="s">
        <v>670</v>
      </c>
      <c r="K1185" s="432" t="s">
        <v>6968</v>
      </c>
      <c r="L1185" s="432">
        <v>5</v>
      </c>
      <c r="M1185" s="952" t="s">
        <v>6719</v>
      </c>
      <c r="N1185" s="462"/>
      <c r="O1185" s="432" t="s">
        <v>284</v>
      </c>
      <c r="P1185" s="431" t="s">
        <v>6977</v>
      </c>
      <c r="Q1185" s="432" t="s">
        <v>5341</v>
      </c>
      <c r="R1185" s="432" t="str">
        <f>_xlfn.XLOOKUP(PV_DATA[[#This Row],[New Ark SKU]],Table9[New Ark SKU],Table9[Connector],,0)</f>
        <v>H4(Com)</v>
      </c>
      <c r="S1185" s="443" t="str">
        <f>_xlfn.XLOOKUP(PV_DATA[[#This Row],[New Ark SKU]],Table9[New Ark SKU],Table9[Cable],,0)</f>
        <v>+400mm/-200mm</v>
      </c>
      <c r="T1185" s="443">
        <v>655</v>
      </c>
      <c r="U1185" s="1212" cm="1">
        <f t="array" ref="U1185">10080-fx_qty</f>
        <v>7200</v>
      </c>
      <c r="V1185" s="449">
        <f>PV_DATA[[#This Row],[QUANTITY]]*PV_DATA[[#This Row],[WATT]]/1000000</f>
        <v>4.7160000000000002</v>
      </c>
      <c r="W1185" s="467">
        <f>PV_DATA[[#This Row],[QUANTITY]]/PV_DATA[[#This Row],[Qty/Pallet]]</f>
        <v>200</v>
      </c>
      <c r="X1185" s="1114">
        <f>PV_DATA[[#This Row],[QUANTITY]]/PV_DATA[[#This Row],[Qty/CT]]</f>
        <v>10</v>
      </c>
      <c r="Y1185" s="432" t="s">
        <v>2470</v>
      </c>
      <c r="Z1185" s="432"/>
      <c r="AA1185" s="432"/>
      <c r="AB1185" s="1023">
        <v>46273</v>
      </c>
      <c r="AC1185" s="468">
        <f>IF(PV_DATA[[#This Row],[Pick-Up Date]]&lt;&gt;"",_xlfn.ISOWEEKNUM(PV_DATA[[#This Row],[Pick-Up Date]]),"")</f>
        <v>37</v>
      </c>
      <c r="AD1185" s="432" t="s">
        <v>6986</v>
      </c>
      <c r="AE1185" s="432"/>
      <c r="AF1185" s="432" t="s">
        <v>77</v>
      </c>
      <c r="AG1185" s="432" t="s">
        <v>77</v>
      </c>
      <c r="AH1185" s="431" t="s">
        <v>105</v>
      </c>
      <c r="AI1185" s="1023">
        <v>46279</v>
      </c>
      <c r="AK1185" s="438"/>
      <c r="AL1185" s="1023">
        <v>46327</v>
      </c>
      <c r="AM1185" s="442"/>
      <c r="AN1185" s="588"/>
      <c r="AO1185" s="432" t="s">
        <v>156</v>
      </c>
      <c r="AP1185" s="432" t="s">
        <v>6981</v>
      </c>
      <c r="AQ1185" s="446" t="s">
        <v>161</v>
      </c>
      <c r="AR1185" s="432" t="s">
        <v>6982</v>
      </c>
      <c r="AS1185" s="432" t="s">
        <v>6984</v>
      </c>
      <c r="AT1185" s="432" t="s">
        <v>6984</v>
      </c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5" s="432"/>
      <c r="AW1185" s="442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 t="str">
        <f>IF(ISERROR(PV_DATA[[#This Row],[New Ark PO status]]),"",_xlfn.XLOOKUP(PV_DATA[[#This Row],[SPTN-PVHK New Ark PO'#]],New_Ark_Data[Purchase order Number],New_Ark_Data[Estimated time of arrival],"",0))</f>
        <v/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5" s="442">
        <f>IFERROR(PV_DATA[[#This Row],[ODP ETA Port]]+PV_DATA[[#This Row],[Customs/Leg3 Assumption]],"n/a")</f>
        <v>46327</v>
      </c>
      <c r="BB1185" s="443" t="s">
        <v>6273</v>
      </c>
      <c r="BC1185" s="443" t="s">
        <v>6273</v>
      </c>
      <c r="BD1185" s="432">
        <f>IFERROR(_xlfn.ISOWEEKNUM(PV_DATA[[#This Row],[ETA for New Ark update]]),0)</f>
        <v>44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720</v>
      </c>
      <c r="BG1185" s="432" t="str">
        <f>_xlfn.XLOOKUP(PV_DATA[[#This Row],[New Ark SKU]],Table9[New Ark SKU],Table9[Back Glass],,0)</f>
        <v>White glazing</v>
      </c>
      <c r="BH1185" s="624" t="str">
        <f>_xlfn.XLOOKUP(PV_DATA[[#This Row],[PORT DESTINATION]],Table12[PORT DESTINATION],Table12[Cosco Line],,0)</f>
        <v>AEU</v>
      </c>
      <c r="BJ1185" s="431"/>
    </row>
    <row r="1186" spans="1:62" ht="10.5" hidden="1">
      <c r="A1186" s="729" t="s">
        <v>6987</v>
      </c>
      <c r="B1186" s="440" t="s">
        <v>61</v>
      </c>
      <c r="C1186" s="440" t="str">
        <f>IFERROR(LEFT(PV_DATA[[#This Row],[TCL REFERENCE]],FIND(".",PV_DATA[[#This Row],[TCL REFERENCE]],1)-1),"Main Line")</f>
        <v>26Aug011</v>
      </c>
      <c r="D1186" s="728" t="s">
        <v>113</v>
      </c>
      <c r="E1186" s="440" t="s">
        <v>144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6" s="440" t="s">
        <v>156</v>
      </c>
      <c r="H1186" s="440" t="s">
        <v>670</v>
      </c>
      <c r="I1186" s="440" t="s">
        <v>1395</v>
      </c>
      <c r="J1186" s="440" t="s">
        <v>670</v>
      </c>
      <c r="K1186" s="432" t="s">
        <v>6968</v>
      </c>
      <c r="L1186" s="432">
        <v>6</v>
      </c>
      <c r="M1186" s="952" t="s">
        <v>6719</v>
      </c>
      <c r="N1186" s="462"/>
      <c r="O1186" s="432" t="s">
        <v>284</v>
      </c>
      <c r="P1186" s="431" t="s">
        <v>6969</v>
      </c>
      <c r="Q1186" s="432" t="s">
        <v>1570</v>
      </c>
      <c r="R1186" s="432" t="str">
        <f>_xlfn.XLOOKUP(PV_DATA[[#This Row],[New Ark SKU]],Table9[New Ark SKU],Table9[Connector],,0)</f>
        <v>H4(Com)</v>
      </c>
      <c r="S1186" s="443" t="str">
        <f>_xlfn.XLOOKUP(PV_DATA[[#This Row],[New Ark SKU]],Table9[New Ark SKU],Table9[Cable],,0)</f>
        <v>+400mm/-200mm</v>
      </c>
      <c r="T1186" s="443">
        <v>650</v>
      </c>
      <c r="U1186" s="1212">
        <v>10800</v>
      </c>
      <c r="V1186" s="449">
        <f>PV_DATA[[#This Row],[QUANTITY]]*PV_DATA[[#This Row],[WATT]]/1000000</f>
        <v>7.02</v>
      </c>
      <c r="W1186" s="467">
        <f>PV_DATA[[#This Row],[QUANTITY]]/PV_DATA[[#This Row],[Qty/Pallet]]</f>
        <v>300</v>
      </c>
      <c r="X1186" s="1114">
        <f>PV_DATA[[#This Row],[QUANTITY]]/PV_DATA[[#This Row],[Qty/CT]]</f>
        <v>15</v>
      </c>
      <c r="Y1186" s="432" t="s">
        <v>2468</v>
      </c>
      <c r="Z1186" s="432" t="str">
        <f t="shared" si="30"/>
        <v/>
      </c>
      <c r="AA1186" s="663">
        <v>46272</v>
      </c>
      <c r="AB1186" s="1023">
        <v>46278</v>
      </c>
      <c r="AC1186" s="468">
        <f>IF(PV_DATA[[#This Row],[Pick-Up Date]]&lt;&gt;"",_xlfn.ISOWEEKNUM(PV_DATA[[#This Row],[Pick-Up Date]]),"")</f>
        <v>37</v>
      </c>
      <c r="AD1186" s="432"/>
      <c r="AE1186" s="432"/>
      <c r="AF1186" s="432" t="s">
        <v>77</v>
      </c>
      <c r="AG1186" s="432" t="s">
        <v>77</v>
      </c>
      <c r="AH1186" s="431" t="s">
        <v>105</v>
      </c>
      <c r="AI1186" s="1023">
        <v>46287</v>
      </c>
      <c r="AK1186" s="438"/>
      <c r="AL1186" s="442"/>
      <c r="AM1186" s="442"/>
      <c r="AN1186" s="588"/>
      <c r="AO1186" s="432" t="s">
        <v>156</v>
      </c>
      <c r="AP1186" s="432" t="s">
        <v>6988</v>
      </c>
      <c r="AQ1186" s="446" t="s">
        <v>161</v>
      </c>
      <c r="AR1186" s="432" t="s">
        <v>6989</v>
      </c>
      <c r="AS1186" s="432" t="s">
        <v>6990</v>
      </c>
      <c r="AT1186" s="432" t="s">
        <v>6991</v>
      </c>
      <c r="AU1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6" s="432"/>
      <c r="AW1186" s="442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>
        <f>IF(ISERROR(PV_DATA[[#This Row],[New Ark PO status]]),"",_xlfn.XLOOKUP(PV_DATA[[#This Row],[SPTN-PVHK New Ark PO'#]],New_Ark_Data[Purchase order Number],New_Ark_Data[Estimated time of arrival],"",0))</f>
        <v>0</v>
      </c>
      <c r="AZ11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6" s="442" t="str">
        <f>IFERROR(PV_DATA[[#This Row],[ODP ETA Port]]+PV_DATA[[#This Row],[Customs/Leg3 Assumption]],"n/a")</f>
        <v>n/a</v>
      </c>
      <c r="BB1186" s="443" t="s">
        <v>6531</v>
      </c>
      <c r="BC1186" s="443" t="s">
        <v>6531</v>
      </c>
      <c r="BD1186" s="432">
        <f>IFERROR(_xlfn.ISOWEEKNUM(PV_DATA[[#This Row],[ETA for New Ark update]]),0)</f>
        <v>0</v>
      </c>
      <c r="BE1186" s="432">
        <f>_xlfn.XLOOKUP(PV_DATA[[#This Row],[New Ark SKU]],Table9[New Ark SKU],Table9[Total PCS per Pallet],,0)</f>
        <v>36</v>
      </c>
      <c r="BF1186" s="432">
        <f>_xlfn.XLOOKUP(PV_DATA[[#This Row],[New Ark SKU]],Table9[New Ark SKU],Table9[Total PCS per 40HQ Container],,0)</f>
        <v>720</v>
      </c>
      <c r="BG1186" s="432" t="str">
        <f>_xlfn.XLOOKUP(PV_DATA[[#This Row],[New Ark SKU]],Table9[New Ark SKU],Table9[Back Glass],,0)</f>
        <v>White glazing</v>
      </c>
      <c r="BH1186" s="624" t="str">
        <f>_xlfn.XLOOKUP(PV_DATA[[#This Row],[PORT DESTINATION]],Table12[PORT DESTINATION],Table12[Cosco Line],,0)</f>
        <v>AEU</v>
      </c>
      <c r="BJ1186" s="431"/>
    </row>
    <row r="1187" spans="1:62" ht="10.5" hidden="1">
      <c r="A1187" s="729" t="s">
        <v>6992</v>
      </c>
      <c r="B1187" s="440" t="s">
        <v>61</v>
      </c>
      <c r="C1187" s="440" t="str">
        <f>IFERROR(LEFT(PV_DATA[[#This Row],[TCL REFERENCE]],FIND(".",PV_DATA[[#This Row],[TCL REFERENCE]],1)-1),"Main Line")</f>
        <v>26Aug011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156</v>
      </c>
      <c r="H1187" s="440" t="s">
        <v>670</v>
      </c>
      <c r="I1187" s="440" t="s">
        <v>1395</v>
      </c>
      <c r="J1187" s="440" t="s">
        <v>670</v>
      </c>
      <c r="K1187" s="432" t="s">
        <v>6968</v>
      </c>
      <c r="L1187" s="432">
        <v>7</v>
      </c>
      <c r="M1187" s="952" t="s">
        <v>6719</v>
      </c>
      <c r="N1187" s="462"/>
      <c r="O1187" s="432" t="s">
        <v>284</v>
      </c>
      <c r="P1187" s="431" t="s">
        <v>6969</v>
      </c>
      <c r="Q1187" s="432" t="s">
        <v>1570</v>
      </c>
      <c r="R1187" s="432" t="str">
        <f>_xlfn.XLOOKUP(PV_DATA[[#This Row],[New Ark SKU]],Table9[New Ark SKU],Table9[Connector],,0)</f>
        <v>H4(Com)</v>
      </c>
      <c r="S1187" s="443" t="str">
        <f>_xlfn.XLOOKUP(PV_DATA[[#This Row],[New Ark SKU]],Table9[New Ark SKU],Table9[Cable],,0)</f>
        <v>+400mm/-200mm</v>
      </c>
      <c r="T1187" s="443">
        <v>650</v>
      </c>
      <c r="U1187" s="1212">
        <v>5040</v>
      </c>
      <c r="V1187" s="449">
        <f>PV_DATA[[#This Row],[QUANTITY]]*PV_DATA[[#This Row],[WATT]]/1000000</f>
        <v>3.2759999999999998</v>
      </c>
      <c r="W1187" s="467">
        <f>PV_DATA[[#This Row],[QUANTITY]]/PV_DATA[[#This Row],[Qty/Pallet]]</f>
        <v>140</v>
      </c>
      <c r="X1187" s="1114">
        <f>PV_DATA[[#This Row],[QUANTITY]]/PV_DATA[[#This Row],[Qty/CT]]</f>
        <v>7</v>
      </c>
      <c r="Y1187" s="432" t="s">
        <v>2469</v>
      </c>
      <c r="Z1187" s="432" t="str">
        <f t="shared" ref="Z1187" si="32">IF(AN1187&lt;&gt;"","COMPLETED",IF(AK1187&lt;&gt;"","IN-TRANSIT",""))</f>
        <v/>
      </c>
      <c r="AA1187" s="663">
        <v>46275</v>
      </c>
      <c r="AB1187" s="1023">
        <v>46278</v>
      </c>
      <c r="AC1187" s="1135">
        <f>IF(PV_DATA[[#This Row],[Pick-Up Date]]&lt;&gt;"",_xlfn.ISOWEEKNUM(PV_DATA[[#This Row],[Pick-Up Date]]),"")</f>
        <v>37</v>
      </c>
      <c r="AD1187" s="1132"/>
      <c r="AE1187" s="1132"/>
      <c r="AF1187" s="432" t="s">
        <v>77</v>
      </c>
      <c r="AG1187" s="432" t="s">
        <v>77</v>
      </c>
      <c r="AH1187" s="431" t="s">
        <v>105</v>
      </c>
      <c r="AI1187" s="1023">
        <v>46287</v>
      </c>
      <c r="AJ1187" s="1134"/>
      <c r="AK1187" s="1134"/>
      <c r="AL1187" s="1134"/>
      <c r="AM1187" s="1134"/>
      <c r="AN1187" s="1136"/>
      <c r="AO1187" s="432" t="s">
        <v>156</v>
      </c>
      <c r="AP1187" s="432" t="s">
        <v>6988</v>
      </c>
      <c r="AQ1187" s="446" t="s">
        <v>161</v>
      </c>
      <c r="AR1187" s="432" t="s">
        <v>6989</v>
      </c>
      <c r="AS1187" s="432" t="s">
        <v>6990</v>
      </c>
      <c r="AT1187" s="432" t="s">
        <v>6993</v>
      </c>
      <c r="AU1187" s="1132"/>
      <c r="AV1187" s="1132"/>
      <c r="AW1187" s="1134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1134">
        <f>IF(ISERROR(PV_DATA[[#This Row],[New Ark PO status]]),"",_xlfn.XLOOKUP(PV_DATA[[#This Row],[SPTN-PVHK New Ark PO'#]],New_Ark_Data[Purchase order Number],New_Ark_Data[Estimated time of arrival],"",0))</f>
        <v>0</v>
      </c>
      <c r="AZ1187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1134" t="str">
        <f>IFERROR(PV_DATA[[#This Row],[ODP ETA Port]]+PV_DATA[[#This Row],[Customs/Leg3 Assumption]],"n/a")</f>
        <v>n/a</v>
      </c>
      <c r="BB1187" s="1133" t="e">
        <f>YEAR(PV_DATA[[#This Row],[ETA for New Ark update]])</f>
        <v>#VALUE!</v>
      </c>
      <c r="BC1187" s="1132" t="e">
        <f>MONTH(PV_DATA[[#This Row],[ETA for New Ark update]])</f>
        <v>#VALUE!</v>
      </c>
      <c r="BD1187" s="1132">
        <f>IFERROR(_xlfn.ISOWEEKNUM(PV_DATA[[#This Row],[ETA for New Ark update]]),0)</f>
        <v>0</v>
      </c>
      <c r="BE1187" s="1132">
        <f>_xlfn.XLOOKUP(PV_DATA[[#This Row],[New Ark SKU]],Table9[New Ark SKU],Table9[Total PCS per Pallet],,0)</f>
        <v>36</v>
      </c>
      <c r="BF1187" s="1132">
        <f>_xlfn.XLOOKUP(PV_DATA[[#This Row],[New Ark SKU]],Table9[New Ark SKU],Table9[Total PCS per 40HQ Container],,0)</f>
        <v>720</v>
      </c>
      <c r="BG1187" s="432" t="str">
        <f>_xlfn.XLOOKUP(PV_DATA[[#This Row],[New Ark SKU]],Table9[New Ark SKU],Table9[Back Glass],,0)</f>
        <v>White glazing</v>
      </c>
      <c r="BH1187" s="1137" t="str">
        <f>_xlfn.XLOOKUP(PV_DATA[[#This Row],[PORT DESTINATION]],Table12[PORT DESTINATION],Table12[Cosco Line],,0)</f>
        <v>AEU</v>
      </c>
      <c r="BJ1187" s="431"/>
    </row>
    <row r="1188" spans="1:62" ht="10.5" hidden="1">
      <c r="A1188" s="729" t="s">
        <v>6994</v>
      </c>
      <c r="B1188" s="440" t="s">
        <v>61</v>
      </c>
      <c r="C1188" s="440" t="str">
        <f>IFERROR(LEFT(PV_DATA[[#This Row],[TCL REFERENCE]],FIND(".",PV_DATA[[#This Row],[TCL REFERENCE]],1)-1),"Main Line")</f>
        <v>26Aug011</v>
      </c>
      <c r="D1188" s="728" t="s">
        <v>113</v>
      </c>
      <c r="E1188" s="440" t="s">
        <v>144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8" s="440" t="s">
        <v>156</v>
      </c>
      <c r="H1188" s="440" t="s">
        <v>670</v>
      </c>
      <c r="I1188" s="440" t="s">
        <v>1395</v>
      </c>
      <c r="J1188" s="440" t="s">
        <v>670</v>
      </c>
      <c r="K1188" s="432" t="s">
        <v>6968</v>
      </c>
      <c r="L1188" s="432">
        <v>3</v>
      </c>
      <c r="M1188" s="952" t="s">
        <v>6719</v>
      </c>
      <c r="N1188" s="462"/>
      <c r="O1188" s="432" t="s">
        <v>284</v>
      </c>
      <c r="P1188" s="431" t="s">
        <v>6969</v>
      </c>
      <c r="Q1188" s="432" t="s">
        <v>1570</v>
      </c>
      <c r="R1188" s="432" t="str">
        <f>_xlfn.XLOOKUP(PV_DATA[[#This Row],[New Ark SKU]],Table9[New Ark SKU],Table9[Connector],,0)</f>
        <v>H4(Com)</v>
      </c>
      <c r="S1188" s="443" t="str">
        <f>_xlfn.XLOOKUP(PV_DATA[[#This Row],[New Ark SKU]],Table9[New Ark SKU],Table9[Cable],,0)</f>
        <v>+400mm/-200mm</v>
      </c>
      <c r="T1188" s="443">
        <v>650</v>
      </c>
      <c r="U1188" s="1212">
        <v>5760</v>
      </c>
      <c r="V1188" s="449">
        <f>PV_DATA[[#This Row],[QUANTITY]]*PV_DATA[[#This Row],[WATT]]/1000000</f>
        <v>3.7440000000000002</v>
      </c>
      <c r="W1188" s="467">
        <f>PV_DATA[[#This Row],[QUANTITY]]/PV_DATA[[#This Row],[Qty/Pallet]]</f>
        <v>160</v>
      </c>
      <c r="X1188" s="1114">
        <f>PV_DATA[[#This Row],[QUANTITY]]/PV_DATA[[#This Row],[Qty/CT]]</f>
        <v>8</v>
      </c>
      <c r="Y1188" s="432" t="s">
        <v>2469</v>
      </c>
      <c r="Z1188" s="432" t="str">
        <f t="shared" si="30"/>
        <v/>
      </c>
      <c r="AA1188" s="663">
        <v>46275</v>
      </c>
      <c r="AB1188" s="1023">
        <v>46279</v>
      </c>
      <c r="AC1188" s="468">
        <f>IF(PV_DATA[[#This Row],[Pick-Up Date]]&lt;&gt;"",_xlfn.ISOWEEKNUM(PV_DATA[[#This Row],[Pick-Up Date]]),"")</f>
        <v>38</v>
      </c>
      <c r="AD1188" s="432"/>
      <c r="AE1188" s="432"/>
      <c r="AF1188" s="432" t="s">
        <v>77</v>
      </c>
      <c r="AG1188" s="432" t="s">
        <v>77</v>
      </c>
      <c r="AH1188" s="431" t="s">
        <v>105</v>
      </c>
      <c r="AI1188" s="1023">
        <v>46287</v>
      </c>
      <c r="AK1188" s="438"/>
      <c r="AL1188" s="442"/>
      <c r="AM1188" s="442"/>
      <c r="AN1188" s="588"/>
      <c r="AO1188" s="432" t="s">
        <v>156</v>
      </c>
      <c r="AP1188" s="432" t="s">
        <v>6988</v>
      </c>
      <c r="AQ1188" s="446" t="s">
        <v>161</v>
      </c>
      <c r="AR1188" s="432" t="s">
        <v>6989</v>
      </c>
      <c r="AS1188" s="432" t="s">
        <v>6990</v>
      </c>
      <c r="AT1188" s="432" t="s">
        <v>6993</v>
      </c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8" s="432"/>
      <c r="AW1188" s="442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>
        <f>IF(ISERROR(PV_DATA[[#This Row],[New Ark PO status]]),"",_xlfn.XLOOKUP(PV_DATA[[#This Row],[SPTN-PVHK New Ark PO'#]],New_Ark_Data[Purchase order Number],New_Ark_Data[Estimated time of arrival],"",0))</f>
        <v>0</v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8" s="442" t="str">
        <f>IFERROR(PV_DATA[[#This Row],[ODP ETA Port]]+PV_DATA[[#This Row],[Customs/Leg3 Assumption]],"n/a")</f>
        <v>n/a</v>
      </c>
      <c r="BB1188" s="443" t="s">
        <v>6531</v>
      </c>
      <c r="BC1188" s="443" t="s">
        <v>6531</v>
      </c>
      <c r="BD1188" s="432">
        <f>IFERROR(_xlfn.ISOWEEKNUM(PV_DATA[[#This Row],[ETA for New Ark update]]),0)</f>
        <v>0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720</v>
      </c>
      <c r="BG1188" s="432" t="str">
        <f>_xlfn.XLOOKUP(PV_DATA[[#This Row],[New Ark SKU]],Table9[New Ark SKU],Table9[Back Glass],,0)</f>
        <v>White glazing</v>
      </c>
      <c r="BH1188" s="624" t="str">
        <f>_xlfn.XLOOKUP(PV_DATA[[#This Row],[PORT DESTINATION]],Table12[PORT DESTINATION],Table12[Cosco Line],,0)</f>
        <v>AEU</v>
      </c>
      <c r="BJ1188" s="431"/>
    </row>
    <row r="1189" spans="1:62" ht="10.5" hidden="1">
      <c r="A1189" s="729" t="s">
        <v>6995</v>
      </c>
      <c r="B1189" s="440" t="s">
        <v>61</v>
      </c>
      <c r="C1189" s="440" t="str">
        <f>IFERROR(LEFT(PV_DATA[[#This Row],[TCL REFERENCE]],FIND(".",PV_DATA[[#This Row],[TCL REFERENCE]],1)-1),"Main Line")</f>
        <v>26Aug011</v>
      </c>
      <c r="D1189" s="728" t="s">
        <v>113</v>
      </c>
      <c r="E1189" s="440" t="s">
        <v>144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670</v>
      </c>
      <c r="I1189" s="440" t="s">
        <v>1395</v>
      </c>
      <c r="J1189" s="440" t="s">
        <v>670</v>
      </c>
      <c r="K1189" s="432" t="s">
        <v>6968</v>
      </c>
      <c r="L1189" s="432">
        <v>8</v>
      </c>
      <c r="M1189" s="952" t="s">
        <v>6719</v>
      </c>
      <c r="N1189" s="462"/>
      <c r="O1189" s="432" t="s">
        <v>284</v>
      </c>
      <c r="P1189" s="431" t="s">
        <v>6969</v>
      </c>
      <c r="Q1189" s="432" t="s">
        <v>1570</v>
      </c>
      <c r="R1189" s="432" t="str">
        <f>_xlfn.XLOOKUP(PV_DATA[[#This Row],[New Ark SKU]],Table9[New Ark SKU],Table9[Connector],,0)</f>
        <v>H4(Com)</v>
      </c>
      <c r="S1189" s="443" t="str">
        <f>_xlfn.XLOOKUP(PV_DATA[[#This Row],[New Ark SKU]],Table9[New Ark SKU],Table9[Cable],,0)</f>
        <v>+400mm/-200mm</v>
      </c>
      <c r="T1189" s="443">
        <v>650</v>
      </c>
      <c r="U1189" s="1212">
        <v>6480</v>
      </c>
      <c r="V1189" s="449">
        <f>PV_DATA[[#This Row],[QUANTITY]]*PV_DATA[[#This Row],[WATT]]/1000000</f>
        <v>4.2119999999999997</v>
      </c>
      <c r="W1189" s="467">
        <f>PV_DATA[[#This Row],[QUANTITY]]/PV_DATA[[#This Row],[Qty/Pallet]]</f>
        <v>180</v>
      </c>
      <c r="X1189" s="1114">
        <f>PV_DATA[[#This Row],[QUANTITY]]/PV_DATA[[#This Row],[Qty/CT]]</f>
        <v>9</v>
      </c>
      <c r="Y1189" s="432" t="s">
        <v>2469</v>
      </c>
      <c r="Z1189" s="432" t="str">
        <f t="shared" si="30"/>
        <v/>
      </c>
      <c r="AA1189" s="663">
        <v>46277</v>
      </c>
      <c r="AB1189" s="442"/>
      <c r="AC1189" s="468" t="str">
        <f>IF(PV_DATA[[#This Row],[Pick-Up Date]]&lt;&gt;"",_xlfn.ISOWEEKNUM(PV_DATA[[#This Row],[Pick-Up Date]]),"")</f>
        <v/>
      </c>
      <c r="AD1189" s="432"/>
      <c r="AE1189" s="432"/>
      <c r="AF1189" s="432" t="s">
        <v>77</v>
      </c>
      <c r="AG1189" s="432" t="s">
        <v>77</v>
      </c>
      <c r="AH1189" s="431" t="s">
        <v>105</v>
      </c>
      <c r="AI1189" s="442"/>
      <c r="AK1189" s="438"/>
      <c r="AL1189" s="442"/>
      <c r="AM1189" s="442"/>
      <c r="AN1189" s="588"/>
      <c r="AO1189" s="432" t="s">
        <v>156</v>
      </c>
      <c r="AP1189" s="432"/>
      <c r="AQ1189" s="446" t="s">
        <v>161</v>
      </c>
      <c r="AR1189" s="432" t="s">
        <v>6996</v>
      </c>
      <c r="AS1189" s="432"/>
      <c r="AT1189" s="432"/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2"/>
      <c r="AW1189" s="442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>
        <f>IF(ISERROR(PV_DATA[[#This Row],[New Ark PO status]]),"",_xlfn.XLOOKUP(PV_DATA[[#This Row],[SPTN-PVHK New Ark PO'#]],New_Ark_Data[Purchase order Number],New_Ark_Data[Estimated time of arrival],"",0))</f>
        <v>0</v>
      </c>
      <c r="AZ11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442" t="str">
        <f>IFERROR(PV_DATA[[#This Row],[ODP ETA Port]]+PV_DATA[[#This Row],[Customs/Leg3 Assumption]],"n/a")</f>
        <v>n/a</v>
      </c>
      <c r="BB1189" s="443" t="s">
        <v>6531</v>
      </c>
      <c r="BC1189" s="443" t="s">
        <v>6531</v>
      </c>
      <c r="BD1189" s="432">
        <f>IFERROR(_xlfn.ISOWEEKNUM(PV_DATA[[#This Row],[ETA for New Ark update]]),0)</f>
        <v>0</v>
      </c>
      <c r="BE1189" s="432">
        <f>_xlfn.XLOOKUP(PV_DATA[[#This Row],[New Ark SKU]],Table9[New Ark SKU],Table9[Total PCS per Pallet],,0)</f>
        <v>36</v>
      </c>
      <c r="BF1189" s="432">
        <f>_xlfn.XLOOKUP(PV_DATA[[#This Row],[New Ark SKU]],Table9[New Ark SKU],Table9[Total PCS per 40HQ Container],,0)</f>
        <v>720</v>
      </c>
      <c r="BG1189" s="432" t="str">
        <f>_xlfn.XLOOKUP(PV_DATA[[#This Row],[New Ark SKU]],Table9[New Ark SKU],Table9[Back Glass],,0)</f>
        <v>White glazing</v>
      </c>
      <c r="BH1189" s="624" t="str">
        <f>_xlfn.XLOOKUP(PV_DATA[[#This Row],[PORT DESTINATION]],Table12[PORT DESTINATION],Table12[Cosco Line],,0)</f>
        <v>AEU</v>
      </c>
      <c r="BJ1189" s="431"/>
    </row>
    <row r="1190" spans="1:62" ht="10.5" hidden="1">
      <c r="A1190" s="729" t="s">
        <v>6997</v>
      </c>
      <c r="B1190" s="440" t="s">
        <v>61</v>
      </c>
      <c r="C1190" s="440" t="str">
        <f>IFERROR(LEFT(PV_DATA[[#This Row],[TCL REFERENCE]],FIND(".",PV_DATA[[#This Row],[TCL REFERENCE]],1)-1),"Main Line")</f>
        <v>26Aug012</v>
      </c>
      <c r="D1190" s="728" t="s">
        <v>113</v>
      </c>
      <c r="E1190" s="440" t="s">
        <v>144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0" s="440" t="s">
        <v>156</v>
      </c>
      <c r="H1190" s="440" t="s">
        <v>670</v>
      </c>
      <c r="I1190" s="440" t="s">
        <v>1395</v>
      </c>
      <c r="J1190" s="440" t="s">
        <v>670</v>
      </c>
      <c r="K1190" s="432" t="s">
        <v>6968</v>
      </c>
      <c r="L1190" s="432">
        <v>4</v>
      </c>
      <c r="M1190" s="952" t="s">
        <v>6719</v>
      </c>
      <c r="N1190" s="462"/>
      <c r="O1190" s="432" t="s">
        <v>284</v>
      </c>
      <c r="P1190" s="431" t="s">
        <v>6977</v>
      </c>
      <c r="Q1190" s="432" t="s">
        <v>5341</v>
      </c>
      <c r="R1190" s="432" t="str">
        <f>_xlfn.XLOOKUP(PV_DATA[[#This Row],[New Ark SKU]],Table9[New Ark SKU],Table9[Connector],,0)</f>
        <v>H4(Com)</v>
      </c>
      <c r="S1190" s="443" t="str">
        <f>_xlfn.XLOOKUP(PV_DATA[[#This Row],[New Ark SKU]],Table9[New Ark SKU],Table9[Cable],,0)</f>
        <v>+400mm/-200mm</v>
      </c>
      <c r="T1190" s="443">
        <v>655</v>
      </c>
      <c r="U1190" s="1212">
        <v>720</v>
      </c>
      <c r="V1190" s="449">
        <f>PV_DATA[[#This Row],[QUANTITY]]*PV_DATA[[#This Row],[WATT]]/1000000</f>
        <v>0.47160000000000002</v>
      </c>
      <c r="W1190" s="467">
        <f>PV_DATA[[#This Row],[QUANTITY]]/PV_DATA[[#This Row],[Qty/Pallet]]</f>
        <v>20</v>
      </c>
      <c r="X1190" s="1114">
        <f>PV_DATA[[#This Row],[QUANTITY]]/PV_DATA[[#This Row],[Qty/CT]]</f>
        <v>1</v>
      </c>
      <c r="Y1190" s="432" t="s">
        <v>2470</v>
      </c>
      <c r="Z1190" s="1132" t="str">
        <f>IF(AN1190&lt;&gt;"","COMPLETED",IF(AK1190&lt;&gt;"","IN-TRANSIT",""))</f>
        <v/>
      </c>
      <c r="AA1190" s="432"/>
      <c r="AB1190" s="1134"/>
      <c r="AC1190" s="1135" t="str">
        <f>IF(PV_DATA[[#This Row],[Pick-Up Date]]&lt;&gt;"",_xlfn.ISOWEEKNUM(PV_DATA[[#This Row],[Pick-Up Date]]),"")</f>
        <v/>
      </c>
      <c r="AD1190" s="1132"/>
      <c r="AE1190" s="1132"/>
      <c r="AF1190" s="432" t="s">
        <v>77</v>
      </c>
      <c r="AG1190" s="432" t="s">
        <v>77</v>
      </c>
      <c r="AH1190" s="431" t="s">
        <v>105</v>
      </c>
      <c r="AI1190" s="1023"/>
      <c r="AJ1190" s="1134"/>
      <c r="AK1190" s="1134"/>
      <c r="AL1190" s="1023"/>
      <c r="AM1190" s="1134"/>
      <c r="AN1190" s="1136"/>
      <c r="AO1190" s="432" t="s">
        <v>156</v>
      </c>
      <c r="AP1190" s="432"/>
      <c r="AQ1190" s="446" t="s">
        <v>161</v>
      </c>
      <c r="AR1190" s="432" t="s">
        <v>6996</v>
      </c>
      <c r="AS1190" s="432"/>
      <c r="AT1190" s="432"/>
      <c r="AU1190" s="1132"/>
      <c r="AV1190" s="1132"/>
      <c r="AW1190" s="1134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1134">
        <f>IF(ISERROR(PV_DATA[[#This Row],[New Ark PO status]]),"",_xlfn.XLOOKUP(PV_DATA[[#This Row],[SPTN-PVHK New Ark PO'#]],New_Ark_Data[Purchase order Number],New_Ark_Data[Estimated time of arrival],"",0))</f>
        <v>0</v>
      </c>
      <c r="AZ1190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0" s="1134" t="str">
        <f>IFERROR(PV_DATA[[#This Row],[ODP ETA Port]]+PV_DATA[[#This Row],[Customs/Leg3 Assumption]],"n/a")</f>
        <v>n/a</v>
      </c>
      <c r="BB1190" s="1133" t="e">
        <f>YEAR(PV_DATA[[#This Row],[ETA for New Ark update]])</f>
        <v>#VALUE!</v>
      </c>
      <c r="BC1190" s="1132" t="e">
        <f>MONTH(PV_DATA[[#This Row],[ETA for New Ark update]])</f>
        <v>#VALUE!</v>
      </c>
      <c r="BD1190" s="1132">
        <f>IFERROR(_xlfn.ISOWEEKNUM(PV_DATA[[#This Row],[ETA for New Ark update]]),0)</f>
        <v>0</v>
      </c>
      <c r="BE1190" s="1132">
        <f>_xlfn.XLOOKUP(PV_DATA[[#This Row],[New Ark SKU]],Table9[New Ark SKU],Table9[Total PCS per Pallet],,0)</f>
        <v>36</v>
      </c>
      <c r="BF1190" s="1132">
        <f>_xlfn.XLOOKUP(PV_DATA[[#This Row],[New Ark SKU]],Table9[New Ark SKU],Table9[Total PCS per 40HQ Container],,0)</f>
        <v>720</v>
      </c>
      <c r="BG1190" s="432" t="str">
        <f>_xlfn.XLOOKUP(PV_DATA[[#This Row],[New Ark SKU]],Table9[New Ark SKU],Table9[Back Glass],,0)</f>
        <v>White glazing</v>
      </c>
      <c r="BH1190" s="1137" t="str">
        <f>_xlfn.XLOOKUP(PV_DATA[[#This Row],[PORT DESTINATION]],Table12[PORT DESTINATION],Table12[Cosco Line],,0)</f>
        <v>AEU</v>
      </c>
      <c r="BJ1190" s="431"/>
    </row>
    <row r="1191" spans="1:62" ht="13.5" hidden="1" customHeight="1">
      <c r="A1191" s="730" t="s">
        <v>6998</v>
      </c>
      <c r="B1191" s="440" t="s">
        <v>111</v>
      </c>
      <c r="C1191" s="440" t="str">
        <f>IFERROR(LEFT(PV_DATA[[#This Row],[TCL REFERENCE]],FIND(".",PV_DATA[[#This Row],[TCL REFERENCE]],1)-1),"Main Line")</f>
        <v>Main Line</v>
      </c>
      <c r="D1191" s="440" t="s">
        <v>63</v>
      </c>
      <c r="E1191" s="440" t="s">
        <v>68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0" t="s">
        <v>68</v>
      </c>
      <c r="H1191" s="440" t="s">
        <v>68</v>
      </c>
      <c r="I1191" s="440" t="s">
        <v>68</v>
      </c>
      <c r="J1191" s="431" t="s">
        <v>68</v>
      </c>
      <c r="K1191" s="432"/>
      <c r="L1191" s="432"/>
      <c r="M1191" s="432" t="s">
        <v>68</v>
      </c>
      <c r="N1191" s="462">
        <v>46285</v>
      </c>
      <c r="O1191" s="432" t="s">
        <v>550</v>
      </c>
      <c r="P1191" s="431" t="s">
        <v>551</v>
      </c>
      <c r="Q1191" s="432" t="s">
        <v>2151</v>
      </c>
      <c r="R1191" s="432" t="str">
        <f>_xlfn.XLOOKUP(PV_DATA[[#This Row],[New Ark SKU]],Table9[New Ark SKU],Table9[Connector],,0)</f>
        <v>EVO2A</v>
      </c>
      <c r="S1191" s="443" t="str">
        <f>_xlfn.XLOOKUP(PV_DATA[[#This Row],[New Ark SKU]],Table9[New Ark SKU],Table9[Cable],,0)</f>
        <v>±1350mm</v>
      </c>
      <c r="T1191" s="443">
        <v>510</v>
      </c>
      <c r="U1191" s="1212" cm="1">
        <f t="array" ref="U1191">23760-fx_qty</f>
        <v>0</v>
      </c>
      <c r="V1191" s="449">
        <f>PV_DATA[[#This Row],[QUANTITY]]*PV_DATA[[#This Row],[WATT]]/1000000</f>
        <v>0</v>
      </c>
      <c r="W1191" s="467">
        <f>PV_DATA[[#This Row],[QUANTITY]]/PV_DATA[[#This Row],[Qty/Pallet]]</f>
        <v>0</v>
      </c>
      <c r="X1191" s="1114">
        <f>PV_DATA[[#This Row],[QUANTITY]]/PV_DATA[[#This Row],[Qty/CT]]</f>
        <v>0</v>
      </c>
      <c r="Y1191" s="432" t="s">
        <v>6650</v>
      </c>
      <c r="Z1191" s="431" t="str">
        <f t="shared" ref="Z1191:Z1208" si="33">IF(AN1191&lt;&gt;"","COMPLETED",IF(AK1191&lt;&gt;"","IN-TRANSIT",""))</f>
        <v/>
      </c>
      <c r="AA1191" s="432"/>
      <c r="AB1191" s="442"/>
      <c r="AC1191" s="468" t="str">
        <f>IF(PV_DATA[[#This Row],[Pick-Up Date]]&lt;&gt;"",_xlfn.ISOWEEKNUM(PV_DATA[[#This Row],[Pick-Up Date]]),"")</f>
        <v/>
      </c>
      <c r="AD1191" s="432"/>
      <c r="AE1191" s="432"/>
      <c r="AF1191" s="432" t="s">
        <v>122</v>
      </c>
      <c r="AG1191" s="432" t="s">
        <v>122</v>
      </c>
      <c r="AH1191" s="432" t="s">
        <v>68</v>
      </c>
      <c r="AI1191" s="442"/>
      <c r="AJ1191" s="438" t="str">
        <f>IFERROR(VLOOKUP(AT1191, Vessel!A:D, 4, FALSE), "")</f>
        <v/>
      </c>
      <c r="AK1191" s="438" t="str">
        <f>IFERROR(IF(VLOOKUP(AT1191,Vessel!A:F,5,FALSE)=0,"",VLOOKUP(AT1191,Vessel!A:F,5,FALSE)),"")</f>
        <v/>
      </c>
      <c r="AL1191" s="442"/>
      <c r="AM1191" s="442"/>
      <c r="AN1191" s="588" t="str">
        <f>IFERROR(IF(VLOOKUP(AT1191,Vessel!A:I,9,FALSE)=0,"",VLOOKUP(AT1191,Vessel!A:I,9,FALSE)),"")</f>
        <v/>
      </c>
      <c r="AO1191" s="432"/>
      <c r="AP1191" s="432"/>
      <c r="AQ1191" s="446"/>
      <c r="AR1191" s="432"/>
      <c r="AS1191" s="432"/>
      <c r="AT1191" s="432"/>
      <c r="AU1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>IF(ISERROR(PV_DATA[[#This Row],[New Ark PO status]]),"",_xlfn.XLOOKUP(PV_DATA[[#This Row],[SPTN-PVHK New Ark PO'#]],New_Ark_Data[Purchase order Number],New_Ark_Data[Estimated time of arrival],"",0))</f>
        <v>0</v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42" t="str">
        <f>IFERROR(PV_DATA[[#This Row],[ODP ETA Port]]+PV_DATA[[#This Row],[Customs/Leg3 Assumption]],"n/a")</f>
        <v>n/a</v>
      </c>
      <c r="BB1191" s="443" t="s">
        <v>6273</v>
      </c>
      <c r="BC1191" s="443" t="s">
        <v>6273</v>
      </c>
      <c r="BD1191" s="432">
        <f>IFERROR(_xlfn.ISOWEEKNUM(PV_DATA[[#This Row],[ETA for New Ark update]]),0)</f>
        <v>0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792</v>
      </c>
      <c r="BG1191" s="432" t="str">
        <f>_xlfn.XLOOKUP(PV_DATA[[#This Row],[New Ark SKU]],Table9[New Ark SKU],Table9[Back Glass],,0)</f>
        <v>Black glazing</v>
      </c>
      <c r="BH1191" s="624" t="str">
        <f>_xlfn.XLOOKUP(PV_DATA[[#This Row],[PORT DESTINATION]],Table12[PORT DESTINATION],Table12[Cosco Line],,0)</f>
        <v>n/a</v>
      </c>
      <c r="BJ1191" s="431"/>
    </row>
    <row r="1192" spans="1:62" ht="13.5" hidden="1" customHeight="1">
      <c r="A1192" s="730" t="s">
        <v>6999</v>
      </c>
      <c r="B1192" s="440" t="s">
        <v>111</v>
      </c>
      <c r="C1192" s="440" t="str">
        <f>IFERROR(LEFT(PV_DATA[[#This Row],[TCL REFERENCE]],FIND(".",PV_DATA[[#This Row],[TCL REFERENCE]],1)-1),"Main Line")</f>
        <v>26Aug015</v>
      </c>
      <c r="D1192" s="440" t="s">
        <v>63</v>
      </c>
      <c r="E1192" s="440" t="s">
        <v>64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2" s="440" t="s">
        <v>402</v>
      </c>
      <c r="H1192" s="440" t="s">
        <v>67</v>
      </c>
      <c r="I1192" s="440" t="s">
        <v>689</v>
      </c>
      <c r="J1192" s="431" t="s">
        <v>96</v>
      </c>
      <c r="K1192" s="432"/>
      <c r="L1192" s="432"/>
      <c r="M1192" s="432" t="s">
        <v>68</v>
      </c>
      <c r="N1192" s="462">
        <v>46285</v>
      </c>
      <c r="O1192" s="432" t="s">
        <v>550</v>
      </c>
      <c r="P1192" s="431" t="s">
        <v>551</v>
      </c>
      <c r="Q1192" s="432" t="s">
        <v>2151</v>
      </c>
      <c r="R1192" s="432" t="str">
        <f>_xlfn.XLOOKUP(PV_DATA[[#This Row],[New Ark SKU]],Table9[New Ark SKU],Table9[Connector],,0)</f>
        <v>EVO2A</v>
      </c>
      <c r="S1192" s="443" t="str">
        <f>_xlfn.XLOOKUP(PV_DATA[[#This Row],[New Ark SKU]],Table9[New Ark SKU],Table9[Cable],,0)</f>
        <v>±1350mm</v>
      </c>
      <c r="T1192" s="443">
        <v>510</v>
      </c>
      <c r="U1192" s="1212">
        <f>792*4</f>
        <v>3168</v>
      </c>
      <c r="V1192" s="449">
        <f>PV_DATA[[#This Row],[QUANTITY]]*PV_DATA[[#This Row],[WATT]]/1000000</f>
        <v>1.61568</v>
      </c>
      <c r="W1192" s="467">
        <f>PV_DATA[[#This Row],[QUANTITY]]/PV_DATA[[#This Row],[Qty/Pallet]]</f>
        <v>88</v>
      </c>
      <c r="X1192" s="1114">
        <f>PV_DATA[[#This Row],[QUANTITY]]/PV_DATA[[#This Row],[Qty/CT]]</f>
        <v>4</v>
      </c>
      <c r="Y1192" s="432" t="s">
        <v>7000</v>
      </c>
      <c r="Z1192" s="431" t="str">
        <f>IF(AN1192&lt;&gt;"","COMPLETED",IF(AK1192&lt;&gt;"","IN-TRANSIT",""))</f>
        <v/>
      </c>
      <c r="AA1192" s="432"/>
      <c r="AB1192" s="442"/>
      <c r="AC1192" s="468" t="str">
        <f>IF(PV_DATA[[#This Row],[Pick-Up Date]]&lt;&gt;"",_xlfn.ISOWEEKNUM(PV_DATA[[#This Row],[Pick-Up Date]]),"")</f>
        <v/>
      </c>
      <c r="AD1192" s="432"/>
      <c r="AE1192" s="432"/>
      <c r="AF1192" s="432" t="s">
        <v>122</v>
      </c>
      <c r="AG1192" s="432" t="s">
        <v>122</v>
      </c>
      <c r="AH1192" s="432" t="s">
        <v>78</v>
      </c>
      <c r="AI1192" s="442"/>
      <c r="AJ1192" s="438" t="str">
        <f>IFERROR(VLOOKUP(AT1192, Vessel!A:D, 4, FALSE), "")</f>
        <v/>
      </c>
      <c r="AK1192" s="438" t="str">
        <f>IFERROR(IF(VLOOKUP(AT1192,Vessel!A:F,5,FALSE)=0,"",VLOOKUP(AT1192,Vessel!A:F,5,FALSE)),"")</f>
        <v/>
      </c>
      <c r="AL1192" s="442"/>
      <c r="AM1192" s="442"/>
      <c r="AN1192" s="588" t="str">
        <f>IFERROR(IF(VLOOKUP(AT1192,Vessel!A:I,9,FALSE)=0,"",VLOOKUP(AT1192,Vessel!A:I,9,FALSE)),"")</f>
        <v/>
      </c>
      <c r="AO1192" s="432"/>
      <c r="AP1192" s="432"/>
      <c r="AQ1192" s="446"/>
      <c r="AR1192" s="432"/>
      <c r="AS1192" s="432"/>
      <c r="AT1192" s="432"/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>
        <f>IF(ISERROR(PV_DATA[[#This Row],[New Ark PO status]]),"",_xlfn.XLOOKUP(PV_DATA[[#This Row],[SPTN-PVHK New Ark PO'#]],New_Ark_Data[Purchase order Number],New_Ark_Data[Estimated time of arrival],"",0))</f>
        <v>0</v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2" s="442">
        <f>IFERROR(PV_DATA[[#This Row],[ODP ETA Port]]+PV_DATA[[#This Row],[Customs/Leg3 Assumption]],"n/a")</f>
        <v>46379</v>
      </c>
      <c r="BB1192" s="443" t="s">
        <v>6531</v>
      </c>
      <c r="BC1192" s="443" t="s">
        <v>6531</v>
      </c>
      <c r="BD1192" s="432">
        <f>IFERROR(_xlfn.ISOWEEKNUM(PV_DATA[[#This Row],[ETA for New Ark update]]),0)</f>
        <v>52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792</v>
      </c>
      <c r="BG1192" s="432" t="str">
        <f>_xlfn.XLOOKUP(PV_DATA[[#This Row],[New Ark SKU]],Table9[New Ark SKU],Table9[Back Glass],,0)</f>
        <v>Black glazing</v>
      </c>
      <c r="BH1192" s="624" t="str">
        <f>_xlfn.XLOOKUP(PV_DATA[[#This Row],[PORT DESTINATION]],Table12[PORT DESTINATION],Table12[Cosco Line],,0)</f>
        <v>AEM</v>
      </c>
      <c r="BJ1192" s="431"/>
    </row>
    <row r="1193" spans="1:62" ht="13.5" hidden="1" customHeight="1">
      <c r="A1193" s="730" t="s">
        <v>7001</v>
      </c>
      <c r="B1193" s="440" t="s">
        <v>111</v>
      </c>
      <c r="C1193" s="440" t="str">
        <f>IFERROR(LEFT(PV_DATA[[#This Row],[TCL REFERENCE]],FIND(".",PV_DATA[[#This Row],[TCL REFERENCE]],1)-1),"Main Line")</f>
        <v>26Aug015</v>
      </c>
      <c r="D1193" s="440" t="s">
        <v>63</v>
      </c>
      <c r="E1193" s="440" t="s">
        <v>64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3" s="440" t="s">
        <v>402</v>
      </c>
      <c r="H1193" s="440" t="s">
        <v>67</v>
      </c>
      <c r="I1193" s="440" t="s">
        <v>689</v>
      </c>
      <c r="J1193" s="431" t="s">
        <v>96</v>
      </c>
      <c r="K1193" s="432"/>
      <c r="L1193" s="432"/>
      <c r="M1193" s="432" t="s">
        <v>68</v>
      </c>
      <c r="N1193" s="462">
        <v>46285</v>
      </c>
      <c r="O1193" s="432" t="s">
        <v>550</v>
      </c>
      <c r="P1193" s="431" t="s">
        <v>551</v>
      </c>
      <c r="Q1193" s="432" t="s">
        <v>2151</v>
      </c>
      <c r="R1193" s="432" t="str">
        <f>_xlfn.XLOOKUP(PV_DATA[[#This Row],[New Ark SKU]],Table9[New Ark SKU],Table9[Connector],,0)</f>
        <v>EVO2A</v>
      </c>
      <c r="S1193" s="443" t="str">
        <f>_xlfn.XLOOKUP(PV_DATA[[#This Row],[New Ark SKU]],Table9[New Ark SKU],Table9[Cable],,0)</f>
        <v>±1350mm</v>
      </c>
      <c r="T1193" s="443">
        <v>510</v>
      </c>
      <c r="U1193" s="1212">
        <f>792*4</f>
        <v>3168</v>
      </c>
      <c r="V1193" s="449">
        <f>PV_DATA[[#This Row],[QUANTITY]]*PV_DATA[[#This Row],[WATT]]/1000000</f>
        <v>1.61568</v>
      </c>
      <c r="W1193" s="467">
        <f>PV_DATA[[#This Row],[QUANTITY]]/PV_DATA[[#This Row],[Qty/Pallet]]</f>
        <v>88</v>
      </c>
      <c r="X1193" s="1114">
        <f>PV_DATA[[#This Row],[QUANTITY]]/PV_DATA[[#This Row],[Qty/CT]]</f>
        <v>4</v>
      </c>
      <c r="Y1193" s="432" t="s">
        <v>7002</v>
      </c>
      <c r="Z1193" s="431" t="str">
        <f>IF(AN1193&lt;&gt;"","COMPLETED",IF(AK1193&lt;&gt;"","IN-TRANSIT",""))</f>
        <v/>
      </c>
      <c r="AA1193" s="432"/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122</v>
      </c>
      <c r="AG1193" s="432" t="s">
        <v>122</v>
      </c>
      <c r="AH1193" s="432" t="s">
        <v>78</v>
      </c>
      <c r="AI1193" s="442"/>
      <c r="AJ1193" s="438" t="str">
        <f>IFERROR(VLOOKUP(AT1193, Vessel!A:D, 4, FALSE), "")</f>
        <v/>
      </c>
      <c r="AK1193" s="438" t="str">
        <f>IFERROR(IF(VLOOKUP(AT1193,Vessel!A:F,5,FALSE)=0,"",VLOOKUP(AT1193,Vessel!A:F,5,FALSE)),"")</f>
        <v/>
      </c>
      <c r="AL1193" s="442"/>
      <c r="AM1193" s="442"/>
      <c r="AN1193" s="588" t="str">
        <f>IFERROR(IF(VLOOKUP(AT1193,Vessel!A:I,9,FALSE)=0,"",VLOOKUP(AT1193,Vessel!A:I,9,FALSE)),"")</f>
        <v/>
      </c>
      <c r="AO1193" s="432"/>
      <c r="AP1193" s="432"/>
      <c r="AQ1193" s="446"/>
      <c r="AR1193" s="432"/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3" s="442">
        <f>IFERROR(PV_DATA[[#This Row],[ODP ETA Port]]+PV_DATA[[#This Row],[Customs/Leg3 Assumption]],"n/a")</f>
        <v>46386</v>
      </c>
      <c r="BB1193" s="443" t="s">
        <v>6531</v>
      </c>
      <c r="BC1193" s="443" t="s">
        <v>6531</v>
      </c>
      <c r="BD1193" s="432">
        <f>IFERROR(_xlfn.ISOWEEKNUM(PV_DATA[[#This Row],[ETA for New Ark update]]),0)</f>
        <v>53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792</v>
      </c>
      <c r="BG1193" s="432" t="str">
        <f>_xlfn.XLOOKUP(PV_DATA[[#This Row],[New Ark SKU]],Table9[New Ark SKU],Table9[Back Glass],,0)</f>
        <v>Black glazing</v>
      </c>
      <c r="BH1193" s="624" t="str">
        <f>_xlfn.XLOOKUP(PV_DATA[[#This Row],[PORT DESTINATION]],Table12[PORT DESTINATION],Table12[Cosco Line],,0)</f>
        <v>AEM</v>
      </c>
      <c r="BJ1193" s="431"/>
    </row>
    <row r="1194" spans="1:62" ht="13.5" hidden="1" customHeight="1">
      <c r="A1194" s="730" t="s">
        <v>7003</v>
      </c>
      <c r="B1194" s="440" t="s">
        <v>111</v>
      </c>
      <c r="C1194" s="440" t="str">
        <f>IFERROR(LEFT(PV_DATA[[#This Row],[TCL REFERENCE]],FIND(".",PV_DATA[[#This Row],[TCL REFERENCE]],1)-1),"Main Line")</f>
        <v>26Aug015</v>
      </c>
      <c r="D1194" s="440" t="s">
        <v>63</v>
      </c>
      <c r="E1194" s="440" t="s">
        <v>64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4" s="440" t="s">
        <v>402</v>
      </c>
      <c r="H1194" s="440" t="s">
        <v>67</v>
      </c>
      <c r="I1194" s="440" t="s">
        <v>689</v>
      </c>
      <c r="J1194" s="431" t="s">
        <v>96</v>
      </c>
      <c r="K1194" s="432"/>
      <c r="L1194" s="432"/>
      <c r="M1194" s="432" t="s">
        <v>68</v>
      </c>
      <c r="N1194" s="462">
        <v>46285</v>
      </c>
      <c r="O1194" s="432" t="s">
        <v>550</v>
      </c>
      <c r="P1194" s="431" t="s">
        <v>551</v>
      </c>
      <c r="Q1194" s="432" t="s">
        <v>2151</v>
      </c>
      <c r="R1194" s="432" t="str">
        <f>_xlfn.XLOOKUP(PV_DATA[[#This Row],[New Ark SKU]],Table9[New Ark SKU],Table9[Connector],,0)</f>
        <v>EVO2A</v>
      </c>
      <c r="S1194" s="443" t="str">
        <f>_xlfn.XLOOKUP(PV_DATA[[#This Row],[New Ark SKU]],Table9[New Ark SKU],Table9[Cable],,0)</f>
        <v>±1350mm</v>
      </c>
      <c r="T1194" s="443">
        <v>510</v>
      </c>
      <c r="U1194" s="1212">
        <f>792*3</f>
        <v>2376</v>
      </c>
      <c r="V1194" s="449">
        <f>PV_DATA[[#This Row],[QUANTITY]]*PV_DATA[[#This Row],[WATT]]/1000000</f>
        <v>1.2117599999999999</v>
      </c>
      <c r="W1194" s="467">
        <f>PV_DATA[[#This Row],[QUANTITY]]/PV_DATA[[#This Row],[Qty/Pallet]]</f>
        <v>66</v>
      </c>
      <c r="X1194" s="1114">
        <f>PV_DATA[[#This Row],[QUANTITY]]/PV_DATA[[#This Row],[Qty/CT]]</f>
        <v>3</v>
      </c>
      <c r="Y1194" s="432" t="s">
        <v>2470</v>
      </c>
      <c r="Z1194" s="431" t="str">
        <f t="shared" si="33"/>
        <v/>
      </c>
      <c r="AA1194" s="432"/>
      <c r="AB1194" s="442"/>
      <c r="AC1194" s="468" t="str">
        <f>IF(PV_DATA[[#This Row],[Pick-Up Date]]&lt;&gt;"",_xlfn.ISOWEEKNUM(PV_DATA[[#This Row],[Pick-Up Date]]),"")</f>
        <v/>
      </c>
      <c r="AD1194" s="432"/>
      <c r="AE1194" s="432"/>
      <c r="AF1194" s="432" t="s">
        <v>5992</v>
      </c>
      <c r="AG1194" s="432" t="s">
        <v>5992</v>
      </c>
      <c r="AH1194" s="432" t="s">
        <v>105</v>
      </c>
      <c r="AI1194" s="442"/>
      <c r="AJ1194" s="438" t="str">
        <f>IFERROR(VLOOKUP(AT1194, Vessel!A:D, 4, FALSE), "")</f>
        <v/>
      </c>
      <c r="AK1194" s="438" t="str">
        <f>IFERROR(IF(VLOOKUP(AT1194,Vessel!A:F,5,FALSE)=0,"",VLOOKUP(AT1194,Vessel!A:F,5,FALSE)),"")</f>
        <v/>
      </c>
      <c r="AL1194" s="442"/>
      <c r="AM1194" s="442"/>
      <c r="AN1194" s="588" t="str">
        <f>IFERROR(IF(VLOOKUP(AT1194,Vessel!A:I,9,FALSE)=0,"",VLOOKUP(AT1194,Vessel!A:I,9,FALSE)),"")</f>
        <v/>
      </c>
      <c r="AO1194" s="432"/>
      <c r="AP1194" s="432"/>
      <c r="AQ1194" s="446"/>
      <c r="AR1194" s="432"/>
      <c r="AS1194" s="432"/>
      <c r="AT1194" s="432"/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32"/>
      <c r="AW1194" s="44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4" s="442">
        <f>IFERROR(PV_DATA[[#This Row],[ODP ETA Port]]+PV_DATA[[#This Row],[Customs/Leg3 Assumption]],"n/a")</f>
        <v>46353</v>
      </c>
      <c r="BB1194" s="443" t="s">
        <v>6531</v>
      </c>
      <c r="BC1194" s="443" t="s">
        <v>6531</v>
      </c>
      <c r="BD1194" s="432">
        <f>IFERROR(_xlfn.ISOWEEKNUM(PV_DATA[[#This Row],[ETA for New Ark update]]),0)</f>
        <v>48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792</v>
      </c>
      <c r="BG1194" s="432" t="str">
        <f>_xlfn.XLOOKUP(PV_DATA[[#This Row],[New Ark SKU]],Table9[New Ark SKU],Table9[Back Glass],,0)</f>
        <v>Black glazing</v>
      </c>
      <c r="BH1194" s="624" t="str">
        <f>_xlfn.XLOOKUP(PV_DATA[[#This Row],[PORT DESTINATION]],Table12[PORT DESTINATION],Table12[Cosco Line],,0)</f>
        <v>AEU</v>
      </c>
      <c r="BJ1194" s="431"/>
    </row>
    <row r="1195" spans="1:62" ht="13.5" hidden="1" customHeight="1">
      <c r="A1195" s="730" t="s">
        <v>7004</v>
      </c>
      <c r="B1195" s="440" t="s">
        <v>111</v>
      </c>
      <c r="C1195" s="440" t="str">
        <f>IFERROR(LEFT(PV_DATA[[#This Row],[TCL REFERENCE]],FIND(".",PV_DATA[[#This Row],[TCL REFERENCE]],1)-1),"Main Line")</f>
        <v>26Aug015</v>
      </c>
      <c r="D1195" s="440" t="s">
        <v>63</v>
      </c>
      <c r="E1195" s="440" t="s">
        <v>64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5" s="440" t="s">
        <v>402</v>
      </c>
      <c r="H1195" s="440" t="s">
        <v>67</v>
      </c>
      <c r="I1195" s="440" t="s">
        <v>689</v>
      </c>
      <c r="J1195" s="431" t="s">
        <v>96</v>
      </c>
      <c r="K1195" s="432"/>
      <c r="L1195" s="432"/>
      <c r="M1195" s="432" t="s">
        <v>68</v>
      </c>
      <c r="N1195" s="462">
        <v>46285</v>
      </c>
      <c r="O1195" s="432" t="s">
        <v>550</v>
      </c>
      <c r="P1195" s="431" t="s">
        <v>551</v>
      </c>
      <c r="Q1195" s="432" t="s">
        <v>2151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±1350mm</v>
      </c>
      <c r="T1195" s="443">
        <v>510</v>
      </c>
      <c r="U1195" s="1212">
        <f>792*4</f>
        <v>3168</v>
      </c>
      <c r="V1195" s="449">
        <f>PV_DATA[[#This Row],[QUANTITY]]*PV_DATA[[#This Row],[WATT]]/1000000</f>
        <v>1.61568</v>
      </c>
      <c r="W1195" s="467">
        <f>PV_DATA[[#This Row],[QUANTITY]]/PV_DATA[[#This Row],[Qty/Pallet]]</f>
        <v>88</v>
      </c>
      <c r="X1195" s="1114">
        <f>PV_DATA[[#This Row],[QUANTITY]]/PV_DATA[[#This Row],[Qty/CT]]</f>
        <v>4</v>
      </c>
      <c r="Y1195" s="432" t="s">
        <v>2471</v>
      </c>
      <c r="Z1195" s="431" t="str">
        <f t="shared" si="33"/>
        <v/>
      </c>
      <c r="AA1195" s="432"/>
      <c r="AB1195" s="442"/>
      <c r="AC1195" s="468" t="str">
        <f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78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8" t="str">
        <f>IFERROR(IF(VLOOKUP(AT1195,Vessel!A:I,9,FALSE)=0,"",VLOOKUP(AT1195,Vessel!A:I,9,FALSE)),"")</f>
        <v/>
      </c>
      <c r="AO1195" s="432"/>
      <c r="AP1195" s="432"/>
      <c r="AQ1195" s="446"/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5" s="442">
        <f>IFERROR(PV_DATA[[#This Row],[ODP ETA Port]]+PV_DATA[[#This Row],[Customs/Leg3 Assumption]],"n/a")</f>
        <v>46365</v>
      </c>
      <c r="BB1195" s="443" t="s">
        <v>6531</v>
      </c>
      <c r="BC1195" s="443" t="s">
        <v>6531</v>
      </c>
      <c r="BD1195" s="432">
        <f>IFERROR(_xlfn.ISOWEEKNUM(PV_DATA[[#This Row],[ETA for New Ark update]]),0)</f>
        <v>50</v>
      </c>
      <c r="BE1195" s="432">
        <f>_xlfn.XLOOKUP(PV_DATA[[#This Row],[New Ark SKU]],Table9[New Ark SKU],Table9[Total PCS per Pallet],,0)</f>
        <v>36</v>
      </c>
      <c r="BF1195" s="432">
        <f>_xlfn.XLOOKUP(PV_DATA[[#This Row],[New Ark SKU]],Table9[New Ark SKU],Table9[Total PCS per 40HQ Container],,0)</f>
        <v>792</v>
      </c>
      <c r="BG1195" s="432" t="str">
        <f>_xlfn.XLOOKUP(PV_DATA[[#This Row],[New Ark SKU]],Table9[New Ark SKU],Table9[Back Glass],,0)</f>
        <v>Black glazing</v>
      </c>
      <c r="BH1195" s="624" t="str">
        <f>_xlfn.XLOOKUP(PV_DATA[[#This Row],[PORT DESTINATION]],Table12[PORT DESTINATION],Table12[Cosco Line],,0)</f>
        <v>AEM</v>
      </c>
      <c r="BJ1195" s="431"/>
    </row>
    <row r="1196" spans="1:62" ht="13.5" hidden="1" customHeight="1">
      <c r="A1196" s="730" t="s">
        <v>7005</v>
      </c>
      <c r="B1196" s="440" t="s">
        <v>111</v>
      </c>
      <c r="C1196" s="440" t="str">
        <f>IFERROR(LEFT(PV_DATA[[#This Row],[TCL REFERENCE]],FIND(".",PV_DATA[[#This Row],[TCL REFERENCE]],1)-1),"Main Line")</f>
        <v>26Aug015</v>
      </c>
      <c r="D1196" s="440" t="s">
        <v>63</v>
      </c>
      <c r="E1196" s="440" t="s">
        <v>64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6" s="440" t="s">
        <v>402</v>
      </c>
      <c r="H1196" s="440" t="s">
        <v>67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46285</v>
      </c>
      <c r="O1196" s="432" t="s">
        <v>550</v>
      </c>
      <c r="P1196" s="431" t="s">
        <v>551</v>
      </c>
      <c r="Q1196" s="432" t="s">
        <v>2151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±1350mm</v>
      </c>
      <c r="T1196" s="443">
        <v>510</v>
      </c>
      <c r="U1196" s="1212">
        <f>792*4</f>
        <v>3168</v>
      </c>
      <c r="V1196" s="449">
        <f>PV_DATA[[#This Row],[QUANTITY]]*PV_DATA[[#This Row],[WATT]]/1000000</f>
        <v>1.61568</v>
      </c>
      <c r="W1196" s="467">
        <f>PV_DATA[[#This Row],[QUANTITY]]/PV_DATA[[#This Row],[Qty/Pallet]]</f>
        <v>88</v>
      </c>
      <c r="X1196" s="1114">
        <f>PV_DATA[[#This Row],[QUANTITY]]/PV_DATA[[#This Row],[Qty/CT]]</f>
        <v>4</v>
      </c>
      <c r="Y1196" s="432" t="s">
        <v>2471</v>
      </c>
      <c r="Z1196" s="431" t="str">
        <f t="shared" si="33"/>
        <v/>
      </c>
      <c r="AA1196" s="432"/>
      <c r="AB1196" s="442"/>
      <c r="AC1196" s="468" t="str">
        <f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105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8" t="str">
        <f>IFERROR(IF(VLOOKUP(AT1196,Vessel!A:I,9,FALSE)=0,"",VLOOKUP(AT1196,Vessel!A:I,9,FALSE)),"")</f>
        <v/>
      </c>
      <c r="AO1196" s="432"/>
      <c r="AP1196" s="432"/>
      <c r="AQ1196" s="446" t="s">
        <v>80</v>
      </c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6" s="442">
        <f>IFERROR(PV_DATA[[#This Row],[ODP ETA Port]]+PV_DATA[[#This Row],[Customs/Leg3 Assumption]],"n/a")</f>
        <v>46360</v>
      </c>
      <c r="BB1196" s="443" t="s">
        <v>6531</v>
      </c>
      <c r="BC1196" s="443" t="s">
        <v>6531</v>
      </c>
      <c r="BD1196" s="432">
        <f>IFERROR(_xlfn.ISOWEEKNUM(PV_DATA[[#This Row],[ETA for New Ark update]]),0)</f>
        <v>49</v>
      </c>
      <c r="BE1196" s="432">
        <f>_xlfn.XLOOKUP(PV_DATA[[#This Row],[New Ark SKU]],Table9[New Ark SKU],Table9[Total PCS per Pallet],,0)</f>
        <v>36</v>
      </c>
      <c r="BF1196" s="432">
        <f>_xlfn.XLOOKUP(PV_DATA[[#This Row],[New Ark SKU]],Table9[New Ark SKU],Table9[Total PCS per 40HQ Container],,0)</f>
        <v>792</v>
      </c>
      <c r="BG1196" s="432" t="str">
        <f>_xlfn.XLOOKUP(PV_DATA[[#This Row],[New Ark SKU]],Table9[New Ark SKU],Table9[Back Glass],,0)</f>
        <v>Black glazing</v>
      </c>
      <c r="BH1196" s="624" t="str">
        <f>_xlfn.XLOOKUP(PV_DATA[[#This Row],[PORT DESTINATION]],Table12[PORT DESTINATION],Table12[Cosco Line],,0)</f>
        <v>AEU</v>
      </c>
      <c r="BJ1196" s="431"/>
    </row>
    <row r="1197" spans="1:62" ht="13.5" hidden="1" customHeight="1">
      <c r="A1197" s="730" t="s">
        <v>7006</v>
      </c>
      <c r="B1197" s="440" t="s">
        <v>111</v>
      </c>
      <c r="C1197" s="440" t="str">
        <f>IFERROR(LEFT(PV_DATA[[#This Row],[TCL REFERENCE]],FIND(".",PV_DATA[[#This Row],[TCL REFERENCE]],1)-1),"Main Line")</f>
        <v>26Aug015</v>
      </c>
      <c r="D1197" s="440" t="s">
        <v>63</v>
      </c>
      <c r="E1197" s="440" t="s">
        <v>64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46285</v>
      </c>
      <c r="O1197" s="432" t="s">
        <v>550</v>
      </c>
      <c r="P1197" s="431" t="s">
        <v>551</v>
      </c>
      <c r="Q1197" s="432" t="s">
        <v>2151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±1350mm</v>
      </c>
      <c r="T1197" s="443">
        <v>510</v>
      </c>
      <c r="U1197" s="1212">
        <f>792*1</f>
        <v>792</v>
      </c>
      <c r="V1197" s="449">
        <f>PV_DATA[[#This Row],[QUANTITY]]*PV_DATA[[#This Row],[WATT]]/1000000</f>
        <v>0.40392</v>
      </c>
      <c r="W1197" s="467">
        <f>PV_DATA[[#This Row],[QUANTITY]]/PV_DATA[[#This Row],[Qty/Pallet]]</f>
        <v>22</v>
      </c>
      <c r="X1197" s="1114">
        <f>PV_DATA[[#This Row],[QUANTITY]]/PV_DATA[[#This Row],[Qty/CT]]</f>
        <v>1</v>
      </c>
      <c r="Y1197" s="432" t="s">
        <v>2471</v>
      </c>
      <c r="Z1197" s="431" t="str">
        <f>IF(AN1197&lt;&gt;"","COMPLETED",IF(AK1197&lt;&gt;"","IN-TRANSIT",""))</f>
        <v/>
      </c>
      <c r="AA1197" s="432"/>
      <c r="AB1197" s="442"/>
      <c r="AC1197" s="468" t="str">
        <f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314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8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7" s="442">
        <f>IFERROR(PV_DATA[[#This Row],[ODP ETA Port]]+PV_DATA[[#This Row],[Customs/Leg3 Assumption]],"n/a")</f>
        <v>46367</v>
      </c>
      <c r="BB1197" s="443" t="s">
        <v>6531</v>
      </c>
      <c r="BC1197" s="443" t="s">
        <v>6531</v>
      </c>
      <c r="BD1197" s="432">
        <f>IFERROR(_xlfn.ISOWEEKNUM(PV_DATA[[#This Row],[ETA for New Ark update]]),0)</f>
        <v>50</v>
      </c>
      <c r="BE1197" s="432">
        <f>_xlfn.XLOOKUP(PV_DATA[[#This Row],[New Ark SKU]],Table9[New Ark SKU],Table9[Total PCS per Pallet],,0)</f>
        <v>36</v>
      </c>
      <c r="BF1197" s="432">
        <f>_xlfn.XLOOKUP(PV_DATA[[#This Row],[New Ark SKU]],Table9[New Ark SKU],Table9[Total PCS per 40HQ Container],,0)</f>
        <v>792</v>
      </c>
      <c r="BG1197" s="432" t="str">
        <f>_xlfn.XLOOKUP(PV_DATA[[#This Row],[New Ark SKU]],Table9[New Ark SKU],Table9[Back Glass],,0)</f>
        <v>Black glazing</v>
      </c>
      <c r="BH1197" s="624" t="str">
        <f>_xlfn.XLOOKUP(PV_DATA[[#This Row],[PORT DESTINATION]],Table12[PORT DESTINATION],Table12[Cosco Line],,0)</f>
        <v>AEM</v>
      </c>
      <c r="BJ1197" s="431"/>
    </row>
    <row r="1198" spans="1:62" ht="13.5" hidden="1" customHeight="1">
      <c r="A1198" s="730" t="s">
        <v>7007</v>
      </c>
      <c r="B1198" s="440" t="s">
        <v>111</v>
      </c>
      <c r="C1198" s="440" t="str">
        <f>IFERROR(LEFT(PV_DATA[[#This Row],[TCL REFERENCE]],FIND(".",PV_DATA[[#This Row],[TCL REFERENCE]],1)-1),"Main Line")</f>
        <v>26Aug015</v>
      </c>
      <c r="D1198" s="440" t="s">
        <v>63</v>
      </c>
      <c r="E1198" s="440" t="s">
        <v>64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8" s="440" t="s">
        <v>402</v>
      </c>
      <c r="H1198" s="440" t="s">
        <v>67</v>
      </c>
      <c r="I1198" s="440" t="s">
        <v>689</v>
      </c>
      <c r="J1198" s="431" t="s">
        <v>96</v>
      </c>
      <c r="K1198" s="432"/>
      <c r="L1198" s="432"/>
      <c r="M1198" s="432" t="s">
        <v>68</v>
      </c>
      <c r="N1198" s="462">
        <v>46285</v>
      </c>
      <c r="O1198" s="432" t="s">
        <v>550</v>
      </c>
      <c r="P1198" s="431" t="s">
        <v>551</v>
      </c>
      <c r="Q1198" s="432" t="s">
        <v>2151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±1350mm</v>
      </c>
      <c r="T1198" s="443">
        <v>510</v>
      </c>
      <c r="U1198" s="1212">
        <f>792*4</f>
        <v>3168</v>
      </c>
      <c r="V1198" s="449">
        <f>PV_DATA[[#This Row],[QUANTITY]]*PV_DATA[[#This Row],[WATT]]/1000000</f>
        <v>1.61568</v>
      </c>
      <c r="W1198" s="467">
        <f>PV_DATA[[#This Row],[QUANTITY]]/PV_DATA[[#This Row],[Qty/Pallet]]</f>
        <v>88</v>
      </c>
      <c r="X1198" s="1114">
        <f>PV_DATA[[#This Row],[QUANTITY]]/PV_DATA[[#This Row],[Qty/CT]]</f>
        <v>4</v>
      </c>
      <c r="Y1198" s="432" t="s">
        <v>6755</v>
      </c>
      <c r="Z1198" s="431" t="str">
        <f>IF(AN1198&lt;&gt;"","COMPLETED",IF(AK1198&lt;&gt;"","IN-TRANSIT",""))</f>
        <v/>
      </c>
      <c r="AA1198" s="432"/>
      <c r="AB1198" s="442"/>
      <c r="AC1198" s="468" t="str">
        <f>IF(PV_DATA[[#This Row],[Pick-Up Date]]&lt;&gt;"",_xlfn.ISOWEEKNUM(PV_DATA[[#This Row],[Pick-Up Date]]),"")</f>
        <v/>
      </c>
      <c r="AD1198" s="432"/>
      <c r="AE1198" s="432"/>
      <c r="AF1198" s="432" t="s">
        <v>122</v>
      </c>
      <c r="AG1198" s="432" t="s">
        <v>122</v>
      </c>
      <c r="AH1198" s="432" t="s">
        <v>78</v>
      </c>
      <c r="AI1198" s="442"/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/>
      <c r="AM1198" s="442"/>
      <c r="AN1198" s="588" t="str">
        <f>IFERROR(IF(VLOOKUP(AT1198,Vessel!A:I,9,FALSE)=0,"",VLOOKUP(AT1198,Vessel!A:I,9,FALSE)),"")</f>
        <v/>
      </c>
      <c r="AO1198" s="432"/>
      <c r="AP1198" s="432"/>
      <c r="AQ1198" s="446"/>
      <c r="AR1198" s="432"/>
      <c r="AS1198" s="432"/>
      <c r="AT1198" s="432"/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3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>
        <f>IF(ISERROR(PV_DATA[[#This Row],[New Ark PO status]]),"",_xlfn.XLOOKUP(PV_DATA[[#This Row],[SPTN-PVHK New Ark PO'#]],New_Ark_Data[Purchase order Number],New_Ark_Data[Estimated time of arrival],"",0))</f>
        <v>0</v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8" s="442">
        <f>IFERROR(PV_DATA[[#This Row],[ODP ETA Port]]+PV_DATA[[#This Row],[Customs/Leg3 Assumption]],"n/a")</f>
        <v>46372</v>
      </c>
      <c r="BB1198" s="443" t="s">
        <v>6531</v>
      </c>
      <c r="BC1198" s="443" t="s">
        <v>6531</v>
      </c>
      <c r="BD1198" s="432">
        <f>IFERROR(_xlfn.ISOWEEKNUM(PV_DATA[[#This Row],[ETA for New Ark update]]),0)</f>
        <v>51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792</v>
      </c>
      <c r="BG1198" s="432" t="str">
        <f>_xlfn.XLOOKUP(PV_DATA[[#This Row],[New Ark SKU]],Table9[New Ark SKU],Table9[Back Glass],,0)</f>
        <v>Black glazing</v>
      </c>
      <c r="BH1198" s="624" t="str">
        <f>_xlfn.XLOOKUP(PV_DATA[[#This Row],[PORT DESTINATION]],Table12[PORT DESTINATION],Table12[Cosco Line],,0)</f>
        <v>AEM</v>
      </c>
      <c r="BJ1198" s="431"/>
    </row>
    <row r="1199" spans="1:62" ht="13.5" hidden="1" customHeight="1">
      <c r="A1199" s="730" t="s">
        <v>7008</v>
      </c>
      <c r="B1199" s="440" t="s">
        <v>111</v>
      </c>
      <c r="C1199" s="440" t="str">
        <f>IFERROR(LEFT(PV_DATA[[#This Row],[TCL REFERENCE]],FIND(".",PV_DATA[[#This Row],[TCL REFERENCE]],1)-1),"Main Line")</f>
        <v>Main Line</v>
      </c>
      <c r="D1199" s="440" t="s">
        <v>63</v>
      </c>
      <c r="E1199" s="440" t="s">
        <v>68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40" t="s">
        <v>68</v>
      </c>
      <c r="H1199" s="440" t="s">
        <v>68</v>
      </c>
      <c r="I1199" s="440" t="s">
        <v>68</v>
      </c>
      <c r="J1199" s="431" t="s">
        <v>68</v>
      </c>
      <c r="K1199" s="432"/>
      <c r="L1199" s="432"/>
      <c r="M1199" s="432" t="s">
        <v>68</v>
      </c>
      <c r="N1199" s="462">
        <v>46282</v>
      </c>
      <c r="O1199" s="432" t="s">
        <v>550</v>
      </c>
      <c r="P1199" s="431" t="s">
        <v>2134</v>
      </c>
      <c r="Q1199" s="432" t="s">
        <v>2135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±1350mm</v>
      </c>
      <c r="T1199" s="443">
        <v>515</v>
      </c>
      <c r="U1199" s="1212" cm="1">
        <f t="array" ref="U1199">34848-fx_qty</f>
        <v>3960</v>
      </c>
      <c r="V1199" s="449">
        <f>PV_DATA[[#This Row],[QUANTITY]]*PV_DATA[[#This Row],[WATT]]/1000000</f>
        <v>2.0394000000000001</v>
      </c>
      <c r="W1199" s="467">
        <f>PV_DATA[[#This Row],[QUANTITY]]/PV_DATA[[#This Row],[Qty/Pallet]]</f>
        <v>110</v>
      </c>
      <c r="X1199" s="1114">
        <f>PV_DATA[[#This Row],[QUANTITY]]/PV_DATA[[#This Row],[Qty/CT]]</f>
        <v>5</v>
      </c>
      <c r="Y1199" s="432" t="s">
        <v>6650</v>
      </c>
      <c r="Z1199" s="431" t="str">
        <f t="shared" si="33"/>
        <v/>
      </c>
      <c r="AA1199" s="432"/>
      <c r="AB1199" s="442"/>
      <c r="AC1199" s="468" t="str">
        <f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68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8" t="str">
        <f>IFERROR(IF(VLOOKUP(AT1199,Vessel!A:I,9,FALSE)=0,"",VLOOKUP(AT1199,Vessel!A:I,9,FALSE)),"")</f>
        <v/>
      </c>
      <c r="AO1199" s="432"/>
      <c r="AP1199" s="432"/>
      <c r="AQ1199" s="446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 t="str">
        <f>IF(ISERROR(PV_DATA[[#This Row],[New Ark PO status]]),"",_xlfn.XLOOKUP(PV_DATA[[#This Row],[SPTN-PVHK New Ark PO'#]],New_Ark_Data[Purchase order Number],New_Ark_Data[Estimated time of arrival],"",0))</f>
        <v/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42" t="str">
        <f>IFERROR(PV_DATA[[#This Row],[ODP ETA Port]]+PV_DATA[[#This Row],[Customs/Leg3 Assumption]],"n/a")</f>
        <v>n/a</v>
      </c>
      <c r="BB1199" s="443" t="s">
        <v>6273</v>
      </c>
      <c r="BC1199" s="443" t="s">
        <v>6273</v>
      </c>
      <c r="BD1199" s="432">
        <f>IFERROR(_xlfn.ISOWEEKNUM(PV_DATA[[#This Row],[ETA for New Ark update]]),0)</f>
        <v>0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792</v>
      </c>
      <c r="BG1199" s="432" t="str">
        <f>_xlfn.XLOOKUP(PV_DATA[[#This Row],[New Ark SKU]],Table9[New Ark SKU],Table9[Back Glass],,0)</f>
        <v>Black glazing</v>
      </c>
      <c r="BH1199" s="624" t="str">
        <f>_xlfn.XLOOKUP(PV_DATA[[#This Row],[PORT DESTINATION]],Table12[PORT DESTINATION],Table12[Cosco Line],,0)</f>
        <v>n/a</v>
      </c>
      <c r="BJ1199" s="431"/>
    </row>
    <row r="1200" spans="1:62" ht="13.5" hidden="1" customHeight="1">
      <c r="A1200" s="730" t="s">
        <v>7009</v>
      </c>
      <c r="B1200" s="440" t="s">
        <v>111</v>
      </c>
      <c r="C1200" s="440" t="str">
        <f>IFERROR(LEFT(PV_DATA[[#This Row],[TCL REFERENCE]],FIND(".",PV_DATA[[#This Row],[TCL REFERENCE]],1)-1),"Main Line")</f>
        <v>26Aug016</v>
      </c>
      <c r="D1200" s="440" t="s">
        <v>63</v>
      </c>
      <c r="E1200" s="440" t="s">
        <v>64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0" s="440" t="s">
        <v>402</v>
      </c>
      <c r="H1200" s="440" t="s">
        <v>311</v>
      </c>
      <c r="I1200" s="440" t="s">
        <v>689</v>
      </c>
      <c r="J1200" s="431" t="s">
        <v>96</v>
      </c>
      <c r="K1200" s="432"/>
      <c r="L1200" s="432"/>
      <c r="M1200" s="432" t="s">
        <v>68</v>
      </c>
      <c r="N1200" s="462">
        <v>46282</v>
      </c>
      <c r="O1200" s="432" t="s">
        <v>550</v>
      </c>
      <c r="P1200" s="431" t="s">
        <v>2134</v>
      </c>
      <c r="Q1200" s="432" t="s">
        <v>2135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515</v>
      </c>
      <c r="U1200" s="1212">
        <f>792*4</f>
        <v>3168</v>
      </c>
      <c r="V1200" s="449">
        <f>PV_DATA[[#This Row],[QUANTITY]]*PV_DATA[[#This Row],[WATT]]/1000000</f>
        <v>1.6315200000000001</v>
      </c>
      <c r="W1200" s="467">
        <f>PV_DATA[[#This Row],[QUANTITY]]/PV_DATA[[#This Row],[Qty/Pallet]]</f>
        <v>88</v>
      </c>
      <c r="X1200" s="1114">
        <f>PV_DATA[[#This Row],[QUANTITY]]/PV_DATA[[#This Row],[Qty/CT]]</f>
        <v>4</v>
      </c>
      <c r="Y1200" s="432" t="s">
        <v>2470</v>
      </c>
      <c r="Z1200" s="431" t="str">
        <f t="shared" si="33"/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1561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2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0" s="442">
        <f>IFERROR(PV_DATA[[#This Row],[ODP ETA Port]]+PV_DATA[[#This Row],[Customs/Leg3 Assumption]],"n/a")</f>
        <v>46360</v>
      </c>
      <c r="BB1200" s="443" t="s">
        <v>6531</v>
      </c>
      <c r="BC1200" s="443" t="s">
        <v>6531</v>
      </c>
      <c r="BD1200" s="432">
        <f>IFERROR(_xlfn.ISOWEEKNUM(PV_DATA[[#This Row],[ETA for New Ark update]]),0)</f>
        <v>49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AEM</v>
      </c>
      <c r="BJ1200" s="431"/>
    </row>
    <row r="1201" spans="1:62" ht="13.5" hidden="1" customHeight="1">
      <c r="A1201" s="730" t="s">
        <v>7010</v>
      </c>
      <c r="B1201" s="440" t="s">
        <v>111</v>
      </c>
      <c r="C1201" s="440" t="str">
        <f>IFERROR(LEFT(PV_DATA[[#This Row],[TCL REFERENCE]],FIND(".",PV_DATA[[#This Row],[TCL REFERENCE]],1)-1),"Main Line")</f>
        <v>26Aug016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1" s="440" t="s">
        <v>402</v>
      </c>
      <c r="H1201" s="440" t="s">
        <v>115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46282</v>
      </c>
      <c r="O1201" s="432" t="s">
        <v>550</v>
      </c>
      <c r="P1201" s="431" t="s">
        <v>2134</v>
      </c>
      <c r="Q1201" s="432" t="s">
        <v>2135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515</v>
      </c>
      <c r="U1201" s="1212">
        <v>792</v>
      </c>
      <c r="V1201" s="449">
        <f>PV_DATA[[#This Row],[QUANTITY]]*PV_DATA[[#This Row],[WATT]]/1000000</f>
        <v>0.40788000000000002</v>
      </c>
      <c r="W1201" s="467">
        <f>PV_DATA[[#This Row],[QUANTITY]]/PV_DATA[[#This Row],[Qty/Pallet]]</f>
        <v>22</v>
      </c>
      <c r="X1201" s="1114">
        <f>PV_DATA[[#This Row],[QUANTITY]]/PV_DATA[[#This Row],[Qty/CT]]</f>
        <v>1</v>
      </c>
      <c r="Y1201" s="432" t="s">
        <v>6755</v>
      </c>
      <c r="Z1201" s="431" t="str">
        <f>IF(AN1201&lt;&gt;"","COMPLETED",IF(AK1201&lt;&gt;"","IN-TRANSIT",""))</f>
        <v/>
      </c>
      <c r="AA1201" s="432"/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122</v>
      </c>
      <c r="AG1201" s="432" t="s">
        <v>122</v>
      </c>
      <c r="AH1201" s="432" t="s">
        <v>124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N1201" s="588" t="str">
        <f>IFERROR(IF(VLOOKUP(AT1201,Vessel!A:I,9,FALSE)=0,"",VLOOKUP(AT1201,Vessel!A:I,9,FALSE)),"")</f>
        <v/>
      </c>
      <c r="AO1201" s="432"/>
      <c r="AP1201" s="432"/>
      <c r="AQ1201" s="446"/>
      <c r="AR1201" s="432"/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1" s="442">
        <f>IFERROR(PV_DATA[[#This Row],[ODP ETA Port]]+PV_DATA[[#This Row],[Customs/Leg3 Assumption]],"n/a")</f>
        <v>46369</v>
      </c>
      <c r="BB1201" s="443" t="s">
        <v>6531</v>
      </c>
      <c r="BC1201" s="443" t="s">
        <v>6531</v>
      </c>
      <c r="BD1201" s="432">
        <f>IFERROR(_xlfn.ISOWEEKNUM(PV_DATA[[#This Row],[ETA for New Ark update]]),0)</f>
        <v>50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AEM</v>
      </c>
      <c r="BJ1201" s="431"/>
    </row>
    <row r="1202" spans="1:62" ht="13.5" hidden="1" customHeight="1">
      <c r="A1202" s="730" t="s">
        <v>7011</v>
      </c>
      <c r="B1202" s="440" t="s">
        <v>111</v>
      </c>
      <c r="C1202" s="440" t="str">
        <f>IFERROR(LEFT(PV_DATA[[#This Row],[TCL REFERENCE]],FIND(".",PV_DATA[[#This Row],[TCL REFERENCE]],1)-1),"Main Line")</f>
        <v>26Aug016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0" t="s">
        <v>402</v>
      </c>
      <c r="H1202" s="440" t="s">
        <v>67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46282</v>
      </c>
      <c r="O1202" s="432" t="s">
        <v>550</v>
      </c>
      <c r="P1202" s="431" t="s">
        <v>2134</v>
      </c>
      <c r="Q1202" s="432" t="s">
        <v>2135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515</v>
      </c>
      <c r="U1202" s="1212">
        <f>792*6</f>
        <v>4752</v>
      </c>
      <c r="V1202" s="449">
        <f>PV_DATA[[#This Row],[QUANTITY]]*PV_DATA[[#This Row],[WATT]]/1000000</f>
        <v>2.4472800000000001</v>
      </c>
      <c r="W1202" s="467">
        <f>PV_DATA[[#This Row],[QUANTITY]]/PV_DATA[[#This Row],[Qty/Pallet]]</f>
        <v>132</v>
      </c>
      <c r="X1202" s="1114">
        <f>PV_DATA[[#This Row],[QUANTITY]]/PV_DATA[[#This Row],[Qty/CT]]</f>
        <v>6</v>
      </c>
      <c r="Y1202" s="432" t="s">
        <v>2470</v>
      </c>
      <c r="Z1202" s="431" t="str">
        <f t="shared" si="33"/>
        <v/>
      </c>
      <c r="AA1202" s="663" t="s">
        <v>7012</v>
      </c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105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 t="s">
        <v>7013</v>
      </c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42">
        <f>IFERROR(PV_DATA[[#This Row],[ODP ETA Port]]+PV_DATA[[#This Row],[Customs/Leg3 Assumption]],"n/a")</f>
        <v>46353</v>
      </c>
      <c r="BB1202" s="443" t="s">
        <v>6531</v>
      </c>
      <c r="BC1202" s="443" t="s">
        <v>6531</v>
      </c>
      <c r="BD1202" s="432">
        <f>IFERROR(_xlfn.ISOWEEKNUM(PV_DATA[[#This Row],[ETA for New Ark update]]),0)</f>
        <v>48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AEU</v>
      </c>
      <c r="BJ1202" s="431"/>
    </row>
    <row r="1203" spans="1:62" ht="13.5" hidden="1" customHeight="1">
      <c r="A1203" s="730" t="s">
        <v>7014</v>
      </c>
      <c r="B1203" s="440" t="s">
        <v>111</v>
      </c>
      <c r="C1203" s="440" t="str">
        <f>IFERROR(LEFT(PV_DATA[[#This Row],[TCL REFERENCE]],FIND(".",PV_DATA[[#This Row],[TCL REFERENCE]],1)-1),"Main Line")</f>
        <v>26Aug016</v>
      </c>
      <c r="D1203" s="440" t="s">
        <v>63</v>
      </c>
      <c r="E1203" s="440" t="s">
        <v>64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402</v>
      </c>
      <c r="H1203" s="440" t="s">
        <v>311</v>
      </c>
      <c r="I1203" s="440" t="s">
        <v>689</v>
      </c>
      <c r="J1203" s="431" t="s">
        <v>96</v>
      </c>
      <c r="K1203" s="432"/>
      <c r="L1203" s="432"/>
      <c r="M1203" s="432" t="s">
        <v>68</v>
      </c>
      <c r="N1203" s="462">
        <v>46282</v>
      </c>
      <c r="O1203" s="432" t="s">
        <v>550</v>
      </c>
      <c r="P1203" s="431" t="s">
        <v>2134</v>
      </c>
      <c r="Q1203" s="432" t="s">
        <v>2135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515</v>
      </c>
      <c r="U1203" s="1212">
        <f>792*4</f>
        <v>3168</v>
      </c>
      <c r="V1203" s="449">
        <f>PV_DATA[[#This Row],[QUANTITY]]*PV_DATA[[#This Row],[WATT]]/1000000</f>
        <v>1.6315200000000001</v>
      </c>
      <c r="W1203" s="467">
        <f>PV_DATA[[#This Row],[QUANTITY]]/PV_DATA[[#This Row],[Qty/Pallet]]</f>
        <v>88</v>
      </c>
      <c r="X1203" s="1114">
        <f>PV_DATA[[#This Row],[QUANTITY]]/PV_DATA[[#This Row],[Qty/CT]]</f>
        <v>4</v>
      </c>
      <c r="Y1203" s="432" t="s">
        <v>2471</v>
      </c>
      <c r="Z1203" s="431" t="str">
        <f t="shared" si="33"/>
        <v/>
      </c>
      <c r="AA1203" s="432"/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122</v>
      </c>
      <c r="AG1203" s="432" t="s">
        <v>122</v>
      </c>
      <c r="AH1203" s="432" t="s">
        <v>314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N1203" s="588" t="str">
        <f>IFERROR(IF(VLOOKUP(AT1203,Vessel!A:I,9,FALSE)=0,"",VLOOKUP(AT1203,Vessel!A:I,9,FALSE)),"")</f>
        <v/>
      </c>
      <c r="AO1203" s="432"/>
      <c r="AP1203" s="432"/>
      <c r="AQ1203" s="446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>IFERROR(PV_DATA[[#This Row],[ODP ETA Port]]+PV_DATA[[#This Row],[Customs/Leg3 Assumption]],"n/a")</f>
        <v>46367</v>
      </c>
      <c r="BB1203" s="443" t="s">
        <v>6531</v>
      </c>
      <c r="BC1203" s="443" t="s">
        <v>6531</v>
      </c>
      <c r="BD1203" s="432">
        <f>IFERROR(_xlfn.ISOWEEKNUM(PV_DATA[[#This Row],[ETA for New Ark update]]),0)</f>
        <v>50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AEM</v>
      </c>
      <c r="BJ1203" s="431"/>
    </row>
    <row r="1204" spans="1:62" ht="13.5" hidden="1" customHeight="1">
      <c r="A1204" s="730" t="s">
        <v>7015</v>
      </c>
      <c r="B1204" s="440" t="s">
        <v>111</v>
      </c>
      <c r="C1204" s="440" t="str">
        <f>IFERROR(LEFT(PV_DATA[[#This Row],[TCL REFERENCE]],FIND(".",PV_DATA[[#This Row],[TCL REFERENCE]],1)-1),"Main Line")</f>
        <v>26Aug016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311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46282</v>
      </c>
      <c r="O1204" s="432" t="s">
        <v>550</v>
      </c>
      <c r="P1204" s="431" t="s">
        <v>2134</v>
      </c>
      <c r="Q1204" s="432" t="s">
        <v>2135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515</v>
      </c>
      <c r="U1204" s="1212">
        <f>792*3</f>
        <v>2376</v>
      </c>
      <c r="V1204" s="449">
        <f>PV_DATA[[#This Row],[QUANTITY]]*PV_DATA[[#This Row],[WATT]]/1000000</f>
        <v>1.2236400000000001</v>
      </c>
      <c r="W1204" s="467">
        <f>PV_DATA[[#This Row],[QUANTITY]]/PV_DATA[[#This Row],[Qty/Pallet]]</f>
        <v>66</v>
      </c>
      <c r="X1204" s="1114">
        <f>PV_DATA[[#This Row],[QUANTITY]]/PV_DATA[[#This Row],[Qty/CT]]</f>
        <v>3</v>
      </c>
      <c r="Y1204" s="432" t="s">
        <v>2471</v>
      </c>
      <c r="Z1204" s="431" t="str">
        <f t="shared" si="33"/>
        <v/>
      </c>
      <c r="AA1204" s="432"/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1561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46367</v>
      </c>
      <c r="BB1204" s="443" t="s">
        <v>6531</v>
      </c>
      <c r="BC1204" s="443" t="s">
        <v>6531</v>
      </c>
      <c r="BD1204" s="432">
        <f>IFERROR(_xlfn.ISOWEEKNUM(PV_DATA[[#This Row],[ETA for New Ark update]]),0)</f>
        <v>50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AEM</v>
      </c>
      <c r="BJ1204" s="431"/>
    </row>
    <row r="1205" spans="1:62" ht="13.5" hidden="1" customHeight="1">
      <c r="A1205" s="730" t="s">
        <v>7016</v>
      </c>
      <c r="B1205" s="440" t="s">
        <v>111</v>
      </c>
      <c r="C1205" s="440" t="str">
        <f>IFERROR(LEFT(PV_DATA[[#This Row],[TCL REFERENCE]],FIND(".",PV_DATA[[#This Row],[TCL REFERENCE]],1)-1),"Main Line")</f>
        <v>26Aug016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5" s="440" t="s">
        <v>402</v>
      </c>
      <c r="H1205" s="440" t="s">
        <v>115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46282</v>
      </c>
      <c r="O1205" s="432" t="s">
        <v>550</v>
      </c>
      <c r="P1205" s="431" t="s">
        <v>2134</v>
      </c>
      <c r="Q1205" s="432" t="s">
        <v>2135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515</v>
      </c>
      <c r="U1205" s="1212">
        <f>792*4</f>
        <v>3168</v>
      </c>
      <c r="V1205" s="449">
        <f>PV_DATA[[#This Row],[QUANTITY]]*PV_DATA[[#This Row],[WATT]]/1000000</f>
        <v>1.6315200000000001</v>
      </c>
      <c r="W1205" s="467">
        <f>PV_DATA[[#This Row],[QUANTITY]]/PV_DATA[[#This Row],[Qty/Pallet]]</f>
        <v>88</v>
      </c>
      <c r="X1205" s="1114">
        <f>PV_DATA[[#This Row],[QUANTITY]]/PV_DATA[[#This Row],[Qty/CT]]</f>
        <v>4</v>
      </c>
      <c r="Y1205" s="432" t="s">
        <v>6755</v>
      </c>
      <c r="Z1205" s="431" t="str">
        <f t="shared" si="33"/>
        <v/>
      </c>
      <c r="AA1205" s="432"/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314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5" s="442">
        <f>IFERROR(PV_DATA[[#This Row],[ODP ETA Port]]+PV_DATA[[#This Row],[Customs/Leg3 Assumption]],"n/a")</f>
        <v>46374</v>
      </c>
      <c r="BB1205" s="443" t="s">
        <v>6531</v>
      </c>
      <c r="BC1205" s="443" t="s">
        <v>6531</v>
      </c>
      <c r="BD1205" s="432">
        <f>IFERROR(_xlfn.ISOWEEKNUM(PV_DATA[[#This Row],[ETA for New Ark update]]),0)</f>
        <v>51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AEM</v>
      </c>
      <c r="BJ1205" s="431"/>
    </row>
    <row r="1206" spans="1:62" ht="13.5" hidden="1" customHeight="1">
      <c r="A1206" s="730" t="s">
        <v>7017</v>
      </c>
      <c r="B1206" s="440" t="s">
        <v>111</v>
      </c>
      <c r="C1206" s="440" t="str">
        <f>IFERROR(LEFT(PV_DATA[[#This Row],[TCL REFERENCE]],FIND(".",PV_DATA[[#This Row],[TCL REFERENCE]],1)-1),"Main Line")</f>
        <v>26Aug016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0" t="s">
        <v>402</v>
      </c>
      <c r="H1206" s="440" t="s">
        <v>67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46282</v>
      </c>
      <c r="O1206" s="432" t="s">
        <v>550</v>
      </c>
      <c r="P1206" s="431" t="s">
        <v>2134</v>
      </c>
      <c r="Q1206" s="432" t="s">
        <v>2135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515</v>
      </c>
      <c r="U1206" s="1212">
        <f>792*5</f>
        <v>3960</v>
      </c>
      <c r="V1206" s="449">
        <f>PV_DATA[[#This Row],[QUANTITY]]*PV_DATA[[#This Row],[WATT]]/1000000</f>
        <v>2.0394000000000001</v>
      </c>
      <c r="W1206" s="467">
        <f>PV_DATA[[#This Row],[QUANTITY]]/PV_DATA[[#This Row],[Qty/Pallet]]</f>
        <v>110</v>
      </c>
      <c r="X1206" s="1114">
        <f>PV_DATA[[#This Row],[QUANTITY]]/PV_DATA[[#This Row],[Qty/CT]]</f>
        <v>5</v>
      </c>
      <c r="Y1206" s="432" t="s">
        <v>2471</v>
      </c>
      <c r="Z1206" s="431" t="str">
        <f t="shared" si="33"/>
        <v/>
      </c>
      <c r="AA1206" s="432"/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122</v>
      </c>
      <c r="AG1206" s="432" t="s">
        <v>122</v>
      </c>
      <c r="AH1206" s="432" t="s">
        <v>105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N1206" s="588" t="str">
        <f>IFERROR(IF(VLOOKUP(AT1206,Vessel!A:I,9,FALSE)=0,"",VLOOKUP(AT1206,Vessel!A:I,9,FALSE)),"")</f>
        <v/>
      </c>
      <c r="AO1206" s="432"/>
      <c r="AP1206" s="432"/>
      <c r="AQ1206" s="446" t="s">
        <v>80</v>
      </c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2">
        <f>IFERROR(PV_DATA[[#This Row],[ODP ETA Port]]+PV_DATA[[#This Row],[Customs/Leg3 Assumption]],"n/a")</f>
        <v>46360</v>
      </c>
      <c r="BB1206" s="443" t="s">
        <v>6531</v>
      </c>
      <c r="BC1206" s="443" t="s">
        <v>6531</v>
      </c>
      <c r="BD1206" s="432">
        <f>IFERROR(_xlfn.ISOWEEKNUM(PV_DATA[[#This Row],[ETA for New Ark update]]),0)</f>
        <v>49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AEU</v>
      </c>
      <c r="BJ1206" s="431"/>
    </row>
    <row r="1207" spans="1:62" ht="13.5" hidden="1" customHeight="1">
      <c r="A1207" s="730" t="s">
        <v>7018</v>
      </c>
      <c r="B1207" s="440" t="s">
        <v>111</v>
      </c>
      <c r="C1207" s="440" t="str">
        <f>IFERROR(LEFT(PV_DATA[[#This Row],[TCL REFERENCE]],FIND(".",PV_DATA[[#This Row],[TCL REFERENCE]],1)-1),"Main Line")</f>
        <v>26Aug016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7" s="440" t="s">
        <v>402</v>
      </c>
      <c r="H1207" s="440" t="s">
        <v>451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46282</v>
      </c>
      <c r="O1207" s="432" t="s">
        <v>550</v>
      </c>
      <c r="P1207" s="431" t="s">
        <v>2134</v>
      </c>
      <c r="Q1207" s="432" t="s">
        <v>2135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515</v>
      </c>
      <c r="U1207" s="1212">
        <f>792*2</f>
        <v>1584</v>
      </c>
      <c r="V1207" s="449">
        <f>PV_DATA[[#This Row],[QUANTITY]]*PV_DATA[[#This Row],[WATT]]/1000000</f>
        <v>0.81576000000000004</v>
      </c>
      <c r="W1207" s="467">
        <f>PV_DATA[[#This Row],[QUANTITY]]/PV_DATA[[#This Row],[Qty/Pallet]]</f>
        <v>44</v>
      </c>
      <c r="X1207" s="1114">
        <f>PV_DATA[[#This Row],[QUANTITY]]/PV_DATA[[#This Row],[Qty/CT]]</f>
        <v>2</v>
      </c>
      <c r="Y1207" s="432" t="s">
        <v>2469</v>
      </c>
      <c r="Z1207" s="431" t="str">
        <f t="shared" si="33"/>
        <v/>
      </c>
      <c r="AA1207" s="663" t="s">
        <v>7019</v>
      </c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122</v>
      </c>
      <c r="AG1207" s="432" t="s">
        <v>122</v>
      </c>
      <c r="AH1207" s="432" t="s">
        <v>456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N1207" s="588" t="str">
        <f>IFERROR(IF(VLOOKUP(AT1207,Vessel!A:I,9,FALSE)=0,"",VLOOKUP(AT1207,Vessel!A:I,9,FALSE)),"")</f>
        <v/>
      </c>
      <c r="AO1207" s="432"/>
      <c r="AP1207" s="432"/>
      <c r="AQ1207" s="446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2">
        <f>IFERROR(PV_DATA[[#This Row],[ODP ETA Port]]+PV_DATA[[#This Row],[Customs/Leg3 Assumption]],"n/a")</f>
        <v>46346</v>
      </c>
      <c r="BB1207" s="443" t="s">
        <v>6531</v>
      </c>
      <c r="BC1207" s="443" t="s">
        <v>6531</v>
      </c>
      <c r="BD1207" s="432">
        <f>IFERROR(_xlfn.ISOWEEKNUM(PV_DATA[[#This Row],[ETA for New Ark update]]),0)</f>
        <v>47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AEU</v>
      </c>
      <c r="BJ1207" s="431"/>
    </row>
    <row r="1208" spans="1:62" ht="13.5" hidden="1" customHeight="1">
      <c r="A1208" s="730" t="s">
        <v>7020</v>
      </c>
      <c r="B1208" s="440" t="s">
        <v>111</v>
      </c>
      <c r="C1208" s="440" t="str">
        <f>IFERROR(LEFT(PV_DATA[[#This Row],[TCL REFERENCE]],FIND(".",PV_DATA[[#This Row],[TCL REFERENCE]],1)-1),"Main Line")</f>
        <v>26Aug016</v>
      </c>
      <c r="D1208" s="440" t="s">
        <v>63</v>
      </c>
      <c r="E1208" s="440" t="s">
        <v>64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0" t="s">
        <v>402</v>
      </c>
      <c r="H1208" s="440" t="s">
        <v>67</v>
      </c>
      <c r="I1208" s="440" t="s">
        <v>689</v>
      </c>
      <c r="J1208" s="431" t="s">
        <v>96</v>
      </c>
      <c r="K1208" s="432"/>
      <c r="L1208" s="432"/>
      <c r="M1208" s="432" t="s">
        <v>68</v>
      </c>
      <c r="N1208" s="462">
        <v>46282</v>
      </c>
      <c r="O1208" s="432" t="s">
        <v>550</v>
      </c>
      <c r="P1208" s="431" t="s">
        <v>2134</v>
      </c>
      <c r="Q1208" s="432" t="s">
        <v>2135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±1350mm</v>
      </c>
      <c r="T1208" s="443">
        <v>515</v>
      </c>
      <c r="U1208" s="1212">
        <f>792*5</f>
        <v>3960</v>
      </c>
      <c r="V1208" s="449">
        <f>PV_DATA[[#This Row],[QUANTITY]]*PV_DATA[[#This Row],[WATT]]/1000000</f>
        <v>2.0394000000000001</v>
      </c>
      <c r="W1208" s="467">
        <f>PV_DATA[[#This Row],[QUANTITY]]/PV_DATA[[#This Row],[Qty/Pallet]]</f>
        <v>110</v>
      </c>
      <c r="X1208" s="1114">
        <f>PV_DATA[[#This Row],[QUANTITY]]/PV_DATA[[#This Row],[Qty/CT]]</f>
        <v>5</v>
      </c>
      <c r="Y1208" s="432" t="s">
        <v>2469</v>
      </c>
      <c r="Z1208" s="431" t="str">
        <f t="shared" si="33"/>
        <v/>
      </c>
      <c r="AA1208" s="663"/>
      <c r="AB1208" s="442"/>
      <c r="AC1208" s="468" t="str">
        <f>IF(PV_DATA[[#This Row],[Pick-Up Date]]&lt;&gt;"",_xlfn.ISOWEEKNUM(PV_DATA[[#This Row],[Pick-Up Date]]),"")</f>
        <v/>
      </c>
      <c r="AD1208" s="432"/>
      <c r="AE1208" s="432"/>
      <c r="AF1208" s="432" t="s">
        <v>5992</v>
      </c>
      <c r="AG1208" s="432" t="s">
        <v>5992</v>
      </c>
      <c r="AH1208" s="432" t="s">
        <v>105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N1208" s="588" t="str">
        <f>IFERROR(IF(VLOOKUP(AT1208,Vessel!A:I,9,FALSE)=0,"",VLOOKUP(AT1208,Vessel!A:I,9,FALSE)),"")</f>
        <v/>
      </c>
      <c r="AO1208" s="432"/>
      <c r="AP1208" s="432"/>
      <c r="AQ1208" s="446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2"/>
      <c r="AW1208" s="442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2">
        <f>IFERROR(PV_DATA[[#This Row],[ODP ETA Port]]+PV_DATA[[#This Row],[Customs/Leg3 Assumption]],"n/a")</f>
        <v>46346</v>
      </c>
      <c r="BB1208" s="443" t="s">
        <v>6531</v>
      </c>
      <c r="BC1208" s="443" t="s">
        <v>6531</v>
      </c>
      <c r="BD1208" s="432">
        <f>IFERROR(_xlfn.ISOWEEKNUM(PV_DATA[[#This Row],[ETA for New Ark update]]),0)</f>
        <v>47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792</v>
      </c>
      <c r="BG1208" s="432" t="str">
        <f>_xlfn.XLOOKUP(PV_DATA[[#This Row],[New Ark SKU]],Table9[New Ark SKU],Table9[Back Glass],,0)</f>
        <v>Black glazing</v>
      </c>
      <c r="BH1208" s="624" t="str">
        <f>_xlfn.XLOOKUP(PV_DATA[[#This Row],[PORT DESTINATION]],Table12[PORT DESTINATION],Table12[Cosco Line],,0)</f>
        <v>AEU</v>
      </c>
      <c r="BJ1208" s="431"/>
    </row>
    <row r="1209" spans="1:62" ht="10.5" hidden="1">
      <c r="A1209" s="730" t="s">
        <v>7021</v>
      </c>
      <c r="B1209" s="440" t="s">
        <v>111</v>
      </c>
      <c r="C1209" s="440" t="str">
        <f>IFERROR(LEFT(PV_DATA[[#This Row],[TCL REFERENCE]],FIND(".",PV_DATA[[#This Row],[TCL REFERENCE]],1)-1),"Main Line")</f>
        <v>Main Line</v>
      </c>
      <c r="D1209" s="440" t="s">
        <v>63</v>
      </c>
      <c r="E1209" s="440" t="s">
        <v>68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40" t="s">
        <v>68</v>
      </c>
      <c r="H1209" s="440" t="s">
        <v>68</v>
      </c>
      <c r="I1209" s="440" t="s">
        <v>68</v>
      </c>
      <c r="J1209" s="431" t="s">
        <v>68</v>
      </c>
      <c r="K1209" s="432"/>
      <c r="L1209" s="432"/>
      <c r="M1209" s="432" t="s">
        <v>68</v>
      </c>
      <c r="N1209" s="462">
        <v>46305</v>
      </c>
      <c r="O1209" s="432" t="s">
        <v>170</v>
      </c>
      <c r="P1209" s="432" t="s">
        <v>171</v>
      </c>
      <c r="Q1209" s="432" t="s">
        <v>1731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±1400mm</v>
      </c>
      <c r="T1209" s="443">
        <v>555</v>
      </c>
      <c r="U1209" s="1212" cm="1">
        <f t="array" ref="U1209">14520-fx_qty</f>
        <v>0</v>
      </c>
      <c r="V1209" s="449">
        <f>PV_DATA[[#This Row],[QUANTITY]]*PV_DATA[[#This Row],[WATT]]/1000000</f>
        <v>0</v>
      </c>
      <c r="W1209" s="467">
        <f>PV_DATA[[#This Row],[QUANTITY]]/PV_DATA[[#This Row],[Qty/Pallet]]</f>
        <v>0</v>
      </c>
      <c r="X1209" s="1114">
        <f>PV_DATA[[#This Row],[QUANTITY]]/PV_DATA[[#This Row],[Qty/CT]]</f>
        <v>0</v>
      </c>
      <c r="Y1209" s="432" t="s">
        <v>6650</v>
      </c>
      <c r="Z1209" s="431"/>
      <c r="AA1209" s="432"/>
      <c r="AB1209" s="442"/>
      <c r="AC1209" s="468"/>
      <c r="AD1209" s="432"/>
      <c r="AE1209" s="432"/>
      <c r="AF1209" s="432" t="s">
        <v>122</v>
      </c>
      <c r="AG1209" s="432" t="s">
        <v>123</v>
      </c>
      <c r="AH1209" s="432" t="s">
        <v>68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O1209" s="432"/>
      <c r="AP1209" s="432"/>
      <c r="AQ1209" s="432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42"/>
      <c r="AW1209" s="442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 t="str">
        <f>IF(ISERROR(PV_DATA[[#This Row],[New Ark PO status]]),"",_xlfn.XLOOKUP(PV_DATA[[#This Row],[SPTN-PVHK New Ark PO'#]],New_Ark_Data[Purchase order Number],New_Ark_Data[Estimated time of arrival],"",0))</f>
        <v/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42" t="str">
        <f>IFERROR(PV_DATA[[#This Row],[ODP ETA Port]]+PV_DATA[[#This Row],[Customs/Leg3 Assumption]],"n/a")</f>
        <v>n/a</v>
      </c>
      <c r="BB1209" s="443" t="e">
        <f>YEAR(PV_DATA[[#This Row],[ETA for New Ark update]])</f>
        <v>#VALUE!</v>
      </c>
      <c r="BC1209" s="432" t="e">
        <f>MONTH(PV_DATA[[#This Row],[ETA for New Ark update]])</f>
        <v>#VALUE!</v>
      </c>
      <c r="BD1209" s="432">
        <f>IFERROR(_xlfn.ISOWEEKNUM(PV_DATA[[#This Row],[ETA for New Ark update]]),0)</f>
        <v>0</v>
      </c>
      <c r="BE1209" s="432">
        <f>_xlfn.XLOOKUP(PV_DATA[[#This Row],[New Ark SKU]],Table9[New Ark SKU],Table9[Total PCS per Pallet],,0)</f>
        <v>33</v>
      </c>
      <c r="BF1209" s="432">
        <f>_xlfn.XLOOKUP(PV_DATA[[#This Row],[New Ark SKU]],Table9[New Ark SKU],Table9[Total PCS per 40HQ Container],,0)</f>
        <v>660</v>
      </c>
      <c r="BG1209" s="432" t="str">
        <f>_xlfn.XLOOKUP(PV_DATA[[#This Row],[New Ark SKU]],Table9[New Ark SKU],Table9[Back Glass],,0)</f>
        <v>White glazing</v>
      </c>
      <c r="BH1209" s="432" t="str">
        <f>_xlfn.XLOOKUP(PV_DATA[[#This Row],[PORT DESTINATION]],Table12[PORT DESTINATION],Table12[Cosco Line],,0)</f>
        <v>n/a</v>
      </c>
      <c r="BJ1209" s="431"/>
    </row>
    <row r="1210" spans="1:62" ht="10.5" hidden="1">
      <c r="A1210" s="730" t="s">
        <v>7022</v>
      </c>
      <c r="B1210" s="440" t="s">
        <v>111</v>
      </c>
      <c r="C1210" s="440" t="str">
        <f>IFERROR(LEFT(PV_DATA[[#This Row],[TCL REFERENCE]],FIND(".",PV_DATA[[#This Row],[TCL REFERENCE]],1)-1),"Main Line")</f>
        <v>26Aug017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/>
      <c r="N1210" s="462">
        <v>46305</v>
      </c>
      <c r="O1210" s="432" t="s">
        <v>170</v>
      </c>
      <c r="P1210" s="432" t="s">
        <v>171</v>
      </c>
      <c r="Q1210" s="432" t="s">
        <v>1731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±1400mm</v>
      </c>
      <c r="T1210" s="443">
        <v>555</v>
      </c>
      <c r="U1210" s="1212">
        <f>660*2</f>
        <v>1320</v>
      </c>
      <c r="V1210" s="449">
        <f>PV_DATA[[#This Row],[QUANTITY]]*PV_DATA[[#This Row],[WATT]]/1000000</f>
        <v>0.73260000000000003</v>
      </c>
      <c r="W1210" s="467">
        <f>PV_DATA[[#This Row],[QUANTITY]]/PV_DATA[[#This Row],[Qty/Pallet]]</f>
        <v>40</v>
      </c>
      <c r="X1210" s="1114">
        <f>PV_DATA[[#This Row],[QUANTITY]]/PV_DATA[[#This Row],[Qty/CT]]</f>
        <v>2</v>
      </c>
      <c r="Y1210" s="432" t="s">
        <v>6755</v>
      </c>
      <c r="Z1210" s="431"/>
      <c r="AA1210" s="432"/>
      <c r="AB1210" s="442"/>
      <c r="AC1210" s="468"/>
      <c r="AD1210" s="432"/>
      <c r="AE1210" s="432"/>
      <c r="AF1210" s="432" t="s">
        <v>122</v>
      </c>
      <c r="AG1210" s="432" t="s">
        <v>123</v>
      </c>
      <c r="AH1210" s="432" t="s">
        <v>124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O1210" s="432"/>
      <c r="AP1210" s="432"/>
      <c r="AQ1210" s="432"/>
      <c r="AR1210" s="432"/>
      <c r="AS1210" s="432"/>
      <c r="AT1210" s="432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4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10" s="442">
        <f>IFERROR(PV_DATA[[#This Row],[ODP ETA Port]]+PV_DATA[[#This Row],[Customs/Leg3 Assumption]],"n/a")</f>
        <v>46369</v>
      </c>
      <c r="BB1210" s="443">
        <f>YEAR(PV_DATA[[#This Row],[ETA for New Ark update]])</f>
        <v>2026</v>
      </c>
      <c r="BC1210" s="432">
        <f>MONTH(PV_DATA[[#This Row],[ETA for New Ark update]])</f>
        <v>12</v>
      </c>
      <c r="BD1210" s="432">
        <f>IFERROR(_xlfn.ISOWEEKNUM(PV_DATA[[#This Row],[ETA for New Ark update]]),0)</f>
        <v>50</v>
      </c>
      <c r="BE1210" s="432">
        <f>_xlfn.XLOOKUP(PV_DATA[[#This Row],[New Ark SKU]],Table9[New Ark SKU],Table9[Total PCS per Pallet],,0)</f>
        <v>33</v>
      </c>
      <c r="BF1210" s="432">
        <f>_xlfn.XLOOKUP(PV_DATA[[#This Row],[New Ark SKU]],Table9[New Ark SKU],Table9[Total PCS per 40HQ Container],,0)</f>
        <v>660</v>
      </c>
      <c r="BG1210" s="432" t="str">
        <f>_xlfn.XLOOKUP(PV_DATA[[#This Row],[New Ark SKU]],Table9[New Ark SKU],Table9[Back Glass],,0)</f>
        <v>White glazing</v>
      </c>
      <c r="BH1210" s="432" t="str">
        <f>_xlfn.XLOOKUP(PV_DATA[[#This Row],[PORT DESTINATION]],Table12[PORT DESTINATION],Table12[Cosco Line],,0)</f>
        <v>AEM</v>
      </c>
      <c r="BJ1210" s="431"/>
    </row>
    <row r="1211" spans="1:62" ht="10.5" hidden="1">
      <c r="A1211" s="730" t="s">
        <v>7023</v>
      </c>
      <c r="B1211" s="440" t="s">
        <v>111</v>
      </c>
      <c r="C1211" s="440" t="str">
        <f>IFERROR(LEFT(PV_DATA[[#This Row],[TCL REFERENCE]],FIND(".",PV_DATA[[#This Row],[TCL REFERENCE]],1)-1),"Main Line")</f>
        <v>26Aug017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1" s="440" t="s">
        <v>402</v>
      </c>
      <c r="H1211" s="440" t="s">
        <v>311</v>
      </c>
      <c r="I1211" s="440" t="s">
        <v>689</v>
      </c>
      <c r="J1211" s="431" t="s">
        <v>96</v>
      </c>
      <c r="K1211" s="432"/>
      <c r="L1211" s="432"/>
      <c r="M1211" s="432"/>
      <c r="N1211" s="462">
        <v>46305</v>
      </c>
      <c r="O1211" s="432" t="s">
        <v>170</v>
      </c>
      <c r="P1211" s="432" t="s">
        <v>171</v>
      </c>
      <c r="Q1211" s="432" t="s">
        <v>1731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±1400mm</v>
      </c>
      <c r="T1211" s="443">
        <v>555</v>
      </c>
      <c r="U1211" s="1212">
        <f>660*5</f>
        <v>3300</v>
      </c>
      <c r="V1211" s="449">
        <f>PV_DATA[[#This Row],[QUANTITY]]*PV_DATA[[#This Row],[WATT]]/1000000</f>
        <v>1.8314999999999999</v>
      </c>
      <c r="W1211" s="467">
        <f>PV_DATA[[#This Row],[QUANTITY]]/PV_DATA[[#This Row],[Qty/Pallet]]</f>
        <v>100</v>
      </c>
      <c r="X1211" s="1114">
        <f>PV_DATA[[#This Row],[QUANTITY]]/PV_DATA[[#This Row],[Qty/CT]]</f>
        <v>5</v>
      </c>
      <c r="Y1211" s="432" t="s">
        <v>7000</v>
      </c>
      <c r="Z1211" s="431"/>
      <c r="AA1211" s="432"/>
      <c r="AB1211" s="442"/>
      <c r="AC1211" s="468"/>
      <c r="AD1211" s="432"/>
      <c r="AE1211" s="432"/>
      <c r="AF1211" s="432" t="s">
        <v>122</v>
      </c>
      <c r="AG1211" s="432" t="s">
        <v>123</v>
      </c>
      <c r="AH1211" s="432" t="s">
        <v>105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O1211" s="432"/>
      <c r="AP1211" s="432"/>
      <c r="AQ1211" s="432"/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4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42">
        <f>IFERROR(PV_DATA[[#This Row],[ODP ETA Port]]+PV_DATA[[#This Row],[Customs/Leg3 Assumption]],"n/a")</f>
        <v>46374</v>
      </c>
      <c r="BB1211" s="443">
        <f>YEAR(PV_DATA[[#This Row],[ETA for New Ark update]])</f>
        <v>2026</v>
      </c>
      <c r="BC1211" s="432">
        <f>MONTH(PV_DATA[[#This Row],[ETA for New Ark update]])</f>
        <v>12</v>
      </c>
      <c r="BD1211" s="432">
        <f>IFERROR(_xlfn.ISOWEEKNUM(PV_DATA[[#This Row],[ETA for New Ark update]]),0)</f>
        <v>51</v>
      </c>
      <c r="BE1211" s="432">
        <f>_xlfn.XLOOKUP(PV_DATA[[#This Row],[New Ark SKU]],Table9[New Ark SKU],Table9[Total PCS per Pallet],,0)</f>
        <v>33</v>
      </c>
      <c r="BF1211" s="432">
        <f>_xlfn.XLOOKUP(PV_DATA[[#This Row],[New Ark SKU]],Table9[New Ark SKU],Table9[Total PCS per 40HQ Container],,0)</f>
        <v>660</v>
      </c>
      <c r="BG1211" s="432" t="str">
        <f>_xlfn.XLOOKUP(PV_DATA[[#This Row],[New Ark SKU]],Table9[New Ark SKU],Table9[Back Glass],,0)</f>
        <v>White glazing</v>
      </c>
      <c r="BH1211" s="432" t="str">
        <f>_xlfn.XLOOKUP(PV_DATA[[#This Row],[PORT DESTINATION]],Table12[PORT DESTINATION],Table12[Cosco Line],,0)</f>
        <v>AEU</v>
      </c>
      <c r="BJ1211" s="431"/>
    </row>
    <row r="1212" spans="1:62" ht="10.5" hidden="1">
      <c r="A1212" s="730" t="s">
        <v>7024</v>
      </c>
      <c r="B1212" s="440" t="s">
        <v>111</v>
      </c>
      <c r="C1212" s="440" t="str">
        <f>IFERROR(LEFT(PV_DATA[[#This Row],[TCL REFERENCE]],FIND(".",PV_DATA[[#This Row],[TCL REFERENCE]],1)-1),"Main Line")</f>
        <v>26Aug017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2" s="440" t="s">
        <v>402</v>
      </c>
      <c r="H1212" s="440" t="s">
        <v>311</v>
      </c>
      <c r="I1212" s="440" t="s">
        <v>689</v>
      </c>
      <c r="J1212" s="431" t="s">
        <v>96</v>
      </c>
      <c r="K1212" s="432"/>
      <c r="L1212" s="432"/>
      <c r="M1212" s="432"/>
      <c r="N1212" s="462">
        <v>46305</v>
      </c>
      <c r="O1212" s="432" t="s">
        <v>170</v>
      </c>
      <c r="P1212" s="432" t="s">
        <v>171</v>
      </c>
      <c r="Q1212" s="432" t="s">
        <v>1731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±1400mm</v>
      </c>
      <c r="T1212" s="443">
        <v>555</v>
      </c>
      <c r="U1212" s="1212">
        <f>660*3</f>
        <v>1980</v>
      </c>
      <c r="V1212" s="449">
        <f>PV_DATA[[#This Row],[QUANTITY]]*PV_DATA[[#This Row],[WATT]]/1000000</f>
        <v>1.0989</v>
      </c>
      <c r="W1212" s="467">
        <f>PV_DATA[[#This Row],[QUANTITY]]/PV_DATA[[#This Row],[Qty/Pallet]]</f>
        <v>60</v>
      </c>
      <c r="X1212" s="1114">
        <f>PV_DATA[[#This Row],[QUANTITY]]/PV_DATA[[#This Row],[Qty/CT]]</f>
        <v>3</v>
      </c>
      <c r="Y1212" s="432" t="s">
        <v>6755</v>
      </c>
      <c r="Z1212" s="431"/>
      <c r="AA1212" s="432"/>
      <c r="AB1212" s="442"/>
      <c r="AC1212" s="468"/>
      <c r="AD1212" s="432"/>
      <c r="AE1212" s="432"/>
      <c r="AF1212" s="432" t="s">
        <v>122</v>
      </c>
      <c r="AG1212" s="432" t="s">
        <v>123</v>
      </c>
      <c r="AH1212" s="432" t="s">
        <v>1561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O1212" s="432"/>
      <c r="AP1212" s="432"/>
      <c r="AQ1212" s="432"/>
      <c r="AR1212" s="432"/>
      <c r="AS1212" s="432"/>
      <c r="AT1212" s="432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4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2" s="442">
        <f>IFERROR(PV_DATA[[#This Row],[ODP ETA Port]]+PV_DATA[[#This Row],[Customs/Leg3 Assumption]],"n/a")</f>
        <v>46374</v>
      </c>
      <c r="BB1212" s="443">
        <f>YEAR(PV_DATA[[#This Row],[ETA for New Ark update]])</f>
        <v>2026</v>
      </c>
      <c r="BC1212" s="432">
        <f>MONTH(PV_DATA[[#This Row],[ETA for New Ark update]])</f>
        <v>12</v>
      </c>
      <c r="BD1212" s="432">
        <f>IFERROR(_xlfn.ISOWEEKNUM(PV_DATA[[#This Row],[ETA for New Ark update]]),0)</f>
        <v>51</v>
      </c>
      <c r="BE1212" s="432">
        <f>_xlfn.XLOOKUP(PV_DATA[[#This Row],[New Ark SKU]],Table9[New Ark SKU],Table9[Total PCS per Pallet],,0)</f>
        <v>33</v>
      </c>
      <c r="BF1212" s="432">
        <f>_xlfn.XLOOKUP(PV_DATA[[#This Row],[New Ark SKU]],Table9[New Ark SKU],Table9[Total PCS per 40HQ Container],,0)</f>
        <v>660</v>
      </c>
      <c r="BG1212" s="432" t="str">
        <f>_xlfn.XLOOKUP(PV_DATA[[#This Row],[New Ark SKU]],Table9[New Ark SKU],Table9[Back Glass],,0)</f>
        <v>White glazing</v>
      </c>
      <c r="BH1212" s="432" t="str">
        <f>_xlfn.XLOOKUP(PV_DATA[[#This Row],[PORT DESTINATION]],Table12[PORT DESTINATION],Table12[Cosco Line],,0)</f>
        <v>AEM</v>
      </c>
      <c r="BJ1212" s="431"/>
    </row>
    <row r="1213" spans="1:62" ht="10.5" hidden="1">
      <c r="A1213" s="730" t="s">
        <v>7025</v>
      </c>
      <c r="B1213" s="440" t="s">
        <v>111</v>
      </c>
      <c r="C1213" s="440" t="str">
        <f>IFERROR(LEFT(PV_DATA[[#This Row],[TCL REFERENCE]],FIND(".",PV_DATA[[#This Row],[TCL REFERENCE]],1)-1),"Main Line")</f>
        <v>26Aug017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3" s="440" t="s">
        <v>402</v>
      </c>
      <c r="H1213" s="440" t="s">
        <v>311</v>
      </c>
      <c r="I1213" s="440" t="s">
        <v>1395</v>
      </c>
      <c r="J1213" s="431" t="s">
        <v>96</v>
      </c>
      <c r="K1213" s="432"/>
      <c r="L1213" s="432"/>
      <c r="M1213" s="432"/>
      <c r="N1213" s="462">
        <v>46305</v>
      </c>
      <c r="O1213" s="432" t="s">
        <v>170</v>
      </c>
      <c r="P1213" s="432" t="s">
        <v>171</v>
      </c>
      <c r="Q1213" s="432" t="s">
        <v>1731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±1400mm</v>
      </c>
      <c r="T1213" s="443">
        <v>555</v>
      </c>
      <c r="U1213" s="1212">
        <f>660*6</f>
        <v>3960</v>
      </c>
      <c r="V1213" s="449">
        <f>PV_DATA[[#This Row],[QUANTITY]]*PV_DATA[[#This Row],[WATT]]/1000000</f>
        <v>2.1978</v>
      </c>
      <c r="W1213" s="467">
        <f>PV_DATA[[#This Row],[QUANTITY]]/PV_DATA[[#This Row],[Qty/Pallet]]</f>
        <v>120</v>
      </c>
      <c r="X1213" s="1114">
        <f>PV_DATA[[#This Row],[QUANTITY]]/PV_DATA[[#This Row],[Qty/CT]]</f>
        <v>6</v>
      </c>
      <c r="Y1213" s="432" t="s">
        <v>6755</v>
      </c>
      <c r="Z1213" s="431"/>
      <c r="AA1213" s="432"/>
      <c r="AB1213" s="442"/>
      <c r="AC1213" s="468"/>
      <c r="AD1213" s="432"/>
      <c r="AE1213" s="432"/>
      <c r="AF1213" s="432" t="s">
        <v>122</v>
      </c>
      <c r="AG1213" s="432" t="s">
        <v>123</v>
      </c>
      <c r="AH1213" s="432" t="s">
        <v>314</v>
      </c>
      <c r="AI1213" s="442"/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/>
      <c r="AM1213" s="442"/>
      <c r="AO1213" s="432"/>
      <c r="AP1213" s="432"/>
      <c r="AQ1213" s="432"/>
      <c r="AR1213" s="432"/>
      <c r="AS1213" s="432"/>
      <c r="AT1213" s="432"/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4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3" s="442">
        <f>IFERROR(PV_DATA[[#This Row],[ODP ETA Port]]+PV_DATA[[#This Row],[Customs/Leg3 Assumption]],"n/a")</f>
        <v>46374</v>
      </c>
      <c r="BB1213" s="443">
        <f>YEAR(PV_DATA[[#This Row],[ETA for New Ark update]])</f>
        <v>2026</v>
      </c>
      <c r="BC1213" s="432">
        <f>MONTH(PV_DATA[[#This Row],[ETA for New Ark update]])</f>
        <v>12</v>
      </c>
      <c r="BD1213" s="432">
        <f>IFERROR(_xlfn.ISOWEEKNUM(PV_DATA[[#This Row],[ETA for New Ark update]]),0)</f>
        <v>51</v>
      </c>
      <c r="BE1213" s="432">
        <f>_xlfn.XLOOKUP(PV_DATA[[#This Row],[New Ark SKU]],Table9[New Ark SKU],Table9[Total PCS per Pallet],,0)</f>
        <v>33</v>
      </c>
      <c r="BF1213" s="432">
        <f>_xlfn.XLOOKUP(PV_DATA[[#This Row],[New Ark SKU]],Table9[New Ark SKU],Table9[Total PCS per 40HQ Container],,0)</f>
        <v>660</v>
      </c>
      <c r="BG1213" s="432" t="str">
        <f>_xlfn.XLOOKUP(PV_DATA[[#This Row],[New Ark SKU]],Table9[New Ark SKU],Table9[Back Glass],,0)</f>
        <v>White glazing</v>
      </c>
      <c r="BH1213" s="432" t="str">
        <f>_xlfn.XLOOKUP(PV_DATA[[#This Row],[PORT DESTINATION]],Table12[PORT DESTINATION],Table12[Cosco Line],,0)</f>
        <v>AEM</v>
      </c>
      <c r="BJ1213" s="431"/>
    </row>
    <row r="1214" spans="1:62" ht="10.5" hidden="1">
      <c r="A1214" s="730" t="s">
        <v>7026</v>
      </c>
      <c r="B1214" s="440" t="s">
        <v>111</v>
      </c>
      <c r="C1214" s="440" t="str">
        <f>IFERROR(LEFT(PV_DATA[[#This Row],[TCL REFERENCE]],FIND(".",PV_DATA[[#This Row],[TCL REFERENCE]],1)-1),"Main Line")</f>
        <v>26Aug017</v>
      </c>
      <c r="D1214" s="440" t="s">
        <v>63</v>
      </c>
      <c r="E1214" s="440" t="s">
        <v>64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4" s="440" t="s">
        <v>402</v>
      </c>
      <c r="H1214" s="440" t="s">
        <v>311</v>
      </c>
      <c r="I1214" s="440" t="s">
        <v>689</v>
      </c>
      <c r="J1214" s="431" t="s">
        <v>96</v>
      </c>
      <c r="K1214" s="432"/>
      <c r="L1214" s="432"/>
      <c r="M1214" s="432"/>
      <c r="N1214" s="462">
        <v>46305</v>
      </c>
      <c r="O1214" s="432" t="s">
        <v>170</v>
      </c>
      <c r="P1214" s="432" t="s">
        <v>171</v>
      </c>
      <c r="Q1214" s="432" t="s">
        <v>1731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±1400mm</v>
      </c>
      <c r="T1214" s="443">
        <v>555</v>
      </c>
      <c r="U1214" s="1212">
        <f>660*6</f>
        <v>3960</v>
      </c>
      <c r="V1214" s="449">
        <f>PV_DATA[[#This Row],[QUANTITY]]*PV_DATA[[#This Row],[WATT]]/1000000</f>
        <v>2.1978</v>
      </c>
      <c r="W1214" s="467">
        <f>PV_DATA[[#This Row],[QUANTITY]]/PV_DATA[[#This Row],[Qty/Pallet]]</f>
        <v>120</v>
      </c>
      <c r="X1214" s="1114">
        <f>PV_DATA[[#This Row],[QUANTITY]]/PV_DATA[[#This Row],[Qty/CT]]</f>
        <v>6</v>
      </c>
      <c r="Y1214" s="432" t="s">
        <v>7002</v>
      </c>
      <c r="Z1214" s="431"/>
      <c r="AA1214" s="432"/>
      <c r="AB1214" s="442"/>
      <c r="AC1214" s="468"/>
      <c r="AD1214" s="432"/>
      <c r="AE1214" s="432"/>
      <c r="AF1214" s="432" t="s">
        <v>122</v>
      </c>
      <c r="AG1214" s="432" t="s">
        <v>123</v>
      </c>
      <c r="AH1214" s="432" t="s">
        <v>314</v>
      </c>
      <c r="AI1214" s="442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/>
      <c r="AM1214" s="442"/>
      <c r="AO1214" s="432"/>
      <c r="AP1214" s="432"/>
      <c r="AQ1214" s="432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42"/>
      <c r="AW1214" s="442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4" s="442">
        <f>IFERROR(PV_DATA[[#This Row],[ODP ETA Port]]+PV_DATA[[#This Row],[Customs/Leg3 Assumption]],"n/a")</f>
        <v>46388</v>
      </c>
      <c r="BB1214" s="443">
        <f>YEAR(PV_DATA[[#This Row],[ETA for New Ark update]])</f>
        <v>2027</v>
      </c>
      <c r="BC1214" s="432">
        <f>MONTH(PV_DATA[[#This Row],[ETA for New Ark update]])</f>
        <v>1</v>
      </c>
      <c r="BD1214" s="432">
        <f>IFERROR(_xlfn.ISOWEEKNUM(PV_DATA[[#This Row],[ETA for New Ark update]]),0)</f>
        <v>53</v>
      </c>
      <c r="BE1214" s="432">
        <f>_xlfn.XLOOKUP(PV_DATA[[#This Row],[New Ark SKU]],Table9[New Ark SKU],Table9[Total PCS per Pallet],,0)</f>
        <v>33</v>
      </c>
      <c r="BF1214" s="432">
        <f>_xlfn.XLOOKUP(PV_DATA[[#This Row],[New Ark SKU]],Table9[New Ark SKU],Table9[Total PCS per 40HQ Container],,0)</f>
        <v>660</v>
      </c>
      <c r="BG1214" s="432" t="str">
        <f>_xlfn.XLOOKUP(PV_DATA[[#This Row],[New Ark SKU]],Table9[New Ark SKU],Table9[Back Glass],,0)</f>
        <v>White glazing</v>
      </c>
      <c r="BH1214" s="432" t="str">
        <f>_xlfn.XLOOKUP(PV_DATA[[#This Row],[PORT DESTINATION]],Table12[PORT DESTINATION],Table12[Cosco Line],,0)</f>
        <v>AEM</v>
      </c>
      <c r="BJ1214" s="431"/>
    </row>
    <row r="1215" spans="1:62" ht="10.5" hidden="1">
      <c r="A1215" s="730" t="s">
        <v>7027</v>
      </c>
      <c r="B1215" s="440" t="s">
        <v>111</v>
      </c>
      <c r="C1215" s="440" t="str">
        <f>IFERROR(LEFT(PV_DATA[[#This Row],[TCL REFERENCE]],FIND(".",PV_DATA[[#This Row],[TCL REFERENCE]],1)-1),"Main Line")</f>
        <v>Main Line</v>
      </c>
      <c r="D1215" s="440" t="s">
        <v>63</v>
      </c>
      <c r="E1215" s="440" t="s">
        <v>68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40" t="s">
        <v>68</v>
      </c>
      <c r="H1215" s="440" t="s">
        <v>68</v>
      </c>
      <c r="I1215" s="440" t="s">
        <v>68</v>
      </c>
      <c r="J1215" s="431" t="s">
        <v>68</v>
      </c>
      <c r="K1215" s="432"/>
      <c r="L1215" s="432"/>
      <c r="M1215" s="432" t="s">
        <v>68</v>
      </c>
      <c r="N1215" s="462">
        <v>46298</v>
      </c>
      <c r="O1215" s="432" t="s">
        <v>170</v>
      </c>
      <c r="P1215" s="432" t="s">
        <v>1977</v>
      </c>
      <c r="Q1215" s="432" t="s">
        <v>1978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560</v>
      </c>
      <c r="U1215" s="1212" cm="1">
        <f t="array" ref="U1215">21780-fx_qty</f>
        <v>660</v>
      </c>
      <c r="V1215" s="449">
        <f>PV_DATA[[#This Row],[QUANTITY]]*PV_DATA[[#This Row],[WATT]]/1000000</f>
        <v>0.36959999999999998</v>
      </c>
      <c r="W1215" s="467">
        <f>PV_DATA[[#This Row],[QUANTITY]]/PV_DATA[[#This Row],[Qty/Pallet]]</f>
        <v>20</v>
      </c>
      <c r="X1215" s="1114">
        <f>PV_DATA[[#This Row],[QUANTITY]]/PV_DATA[[#This Row],[Qty/CT]]</f>
        <v>1</v>
      </c>
      <c r="Y1215" s="432" t="s">
        <v>6650</v>
      </c>
      <c r="Z1215" s="431"/>
      <c r="AA1215" s="432"/>
      <c r="AB1215" s="442"/>
      <c r="AC1215" s="446"/>
      <c r="AD1215" s="432"/>
      <c r="AE1215" s="432"/>
      <c r="AF1215" s="432" t="s">
        <v>122</v>
      </c>
      <c r="AG1215" s="432" t="s">
        <v>123</v>
      </c>
      <c r="AH1215" s="432" t="s">
        <v>68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4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32"/>
      <c r="AW1215" s="442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 t="str">
        <f>IF(ISERROR(PV_DATA[[#This Row],[New Ark PO status]]),"",_xlfn.XLOOKUP(PV_DATA[[#This Row],[SPTN-PVHK New Ark PO'#]],New_Ark_Data[Purchase order Number],New_Ark_Data[Estimated time of arrival],"",0))</f>
        <v/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38" t="str">
        <f>IFERROR(PV_DATA[[#This Row],[ODP ETA Port]]+PV_DATA[[#This Row],[Customs/Leg3 Assumption]],"n/a")</f>
        <v>n/a</v>
      </c>
      <c r="BB1215" s="443" t="e">
        <f>YEAR(PV_DATA[[#This Row],[ETA for New Ark update]])</f>
        <v>#VALUE!</v>
      </c>
      <c r="BC1215" s="432" t="e">
        <f>MONTH(PV_DATA[[#This Row],[ETA for New Ark update]])</f>
        <v>#VALUE!</v>
      </c>
      <c r="BD1215" s="432">
        <f>IFERROR(_xlfn.ISOWEEKNUM(PV_DATA[[#This Row],[ETA for New Ark update]]),0)</f>
        <v>0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n/a</v>
      </c>
      <c r="BJ1215" s="431"/>
    </row>
    <row r="1216" spans="1:62" ht="10.5" hidden="1" customHeight="1">
      <c r="A1216" s="730" t="s">
        <v>7028</v>
      </c>
      <c r="B1216" s="440" t="s">
        <v>111</v>
      </c>
      <c r="C1216" s="440" t="str">
        <f>IFERROR(LEFT(PV_DATA[[#This Row],[TCL REFERENCE]],FIND(".",PV_DATA[[#This Row],[TCL REFERENCE]],1)-1),"Main Line")</f>
        <v>26Aug018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1977</v>
      </c>
      <c r="Q1216" s="432" t="s">
        <v>1978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560</v>
      </c>
      <c r="U1216" s="1212">
        <f>660*6</f>
        <v>3960</v>
      </c>
      <c r="V1216" s="449">
        <f>PV_DATA[[#This Row],[QUANTITY]]*PV_DATA[[#This Row],[WATT]]/1000000</f>
        <v>2.2176</v>
      </c>
      <c r="W1216" s="467">
        <f>PV_DATA[[#This Row],[QUANTITY]]/PV_DATA[[#This Row],[Qty/Pallet]]</f>
        <v>120</v>
      </c>
      <c r="X1216" s="1114">
        <f>PV_DATA[[#This Row],[QUANTITY]]/PV_DATA[[#This Row],[Qty/CT]]</f>
        <v>6</v>
      </c>
      <c r="Y1216" s="432" t="s">
        <v>7002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105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2">
        <f>IFERROR(PV_DATA[[#This Row],[ODP ETA Port]]+PV_DATA[[#This Row],[Customs/Leg3 Assumption]],"n/a")</f>
        <v>46381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52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AEU</v>
      </c>
      <c r="BJ1216" s="431"/>
    </row>
    <row r="1217" spans="1:62" ht="10.5" hidden="1">
      <c r="A1217" s="730" t="s">
        <v>7029</v>
      </c>
      <c r="B1217" s="440" t="s">
        <v>111</v>
      </c>
      <c r="C1217" s="440" t="str">
        <f>IFERROR(LEFT(PV_DATA[[#This Row],[TCL REFERENCE]],FIND(".",PV_DATA[[#This Row],[TCL REFERENCE]],1)-1),"Main Line")</f>
        <v>26Aug018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1977</v>
      </c>
      <c r="Q1217" s="432" t="s">
        <v>1978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560</v>
      </c>
      <c r="U1217" s="1212">
        <f>660*6</f>
        <v>3960</v>
      </c>
      <c r="V1217" s="449">
        <f>PV_DATA[[#This Row],[QUANTITY]]*PV_DATA[[#This Row],[WATT]]/1000000</f>
        <v>2.2176</v>
      </c>
      <c r="W1217" s="467">
        <f>PV_DATA[[#This Row],[QUANTITY]]/PV_DATA[[#This Row],[Qty/Pallet]]</f>
        <v>120</v>
      </c>
      <c r="X1217" s="1114">
        <f>PV_DATA[[#This Row],[QUANTITY]]/PV_DATA[[#This Row],[Qty/CT]]</f>
        <v>6</v>
      </c>
      <c r="Y1217" s="432" t="s">
        <v>6755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105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42">
        <f>IFERROR(PV_DATA[[#This Row],[ODP ETA Port]]+PV_DATA[[#This Row],[Customs/Leg3 Assumption]],"n/a")</f>
        <v>46367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50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AEU</v>
      </c>
      <c r="BJ1217" s="431"/>
    </row>
    <row r="1218" spans="1:62" ht="10.5" hidden="1">
      <c r="A1218" s="730" t="s">
        <v>7030</v>
      </c>
      <c r="B1218" s="440" t="s">
        <v>111</v>
      </c>
      <c r="C1218" s="440" t="str">
        <f>IFERROR(LEFT(PV_DATA[[#This Row],[TCL REFERENCE]],FIND(".",PV_DATA[[#This Row],[TCL REFERENCE]],1)-1),"Main Line")</f>
        <v>26Aug018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689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1977</v>
      </c>
      <c r="Q1218" s="432" t="s">
        <v>1978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560</v>
      </c>
      <c r="U1218" s="1212">
        <f>660*4</f>
        <v>2640</v>
      </c>
      <c r="V1218" s="449">
        <f>PV_DATA[[#This Row],[QUANTITY]]*PV_DATA[[#This Row],[WATT]]/1000000</f>
        <v>1.4783999999999999</v>
      </c>
      <c r="W1218" s="467">
        <f>PV_DATA[[#This Row],[QUANTITY]]/PV_DATA[[#This Row],[Qty/Pallet]]</f>
        <v>80</v>
      </c>
      <c r="X1218" s="1114">
        <f>PV_DATA[[#This Row],[QUANTITY]]/PV_DATA[[#This Row],[Qty/CT]]</f>
        <v>4</v>
      </c>
      <c r="Y1218" s="432" t="s">
        <v>7000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314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46381</v>
      </c>
      <c r="BB1218" s="443">
        <f>YEAR(PV_DATA[[#This Row],[ETA for New Ark update]])</f>
        <v>2026</v>
      </c>
      <c r="BC1218" s="432">
        <f>MONTH(PV_DATA[[#This Row],[ETA for New Ark update]])</f>
        <v>12</v>
      </c>
      <c r="BD1218" s="432">
        <f>IFERROR(_xlfn.ISOWEEKNUM(PV_DATA[[#This Row],[ETA for New Ark update]]),0)</f>
        <v>52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7031</v>
      </c>
      <c r="B1219" s="440" t="s">
        <v>111</v>
      </c>
      <c r="C1219" s="440" t="str">
        <f>IFERROR(LEFT(PV_DATA[[#This Row],[TCL REFERENCE]],FIND(".",PV_DATA[[#This Row],[TCL REFERENCE]],1)-1),"Main Line")</f>
        <v>26Aug018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689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1977</v>
      </c>
      <c r="Q1219" s="432" t="s">
        <v>1978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560</v>
      </c>
      <c r="U1219" s="1212">
        <f>660*4</f>
        <v>2640</v>
      </c>
      <c r="V1219" s="449">
        <f>PV_DATA[[#This Row],[QUANTITY]]*PV_DATA[[#This Row],[WATT]]/1000000</f>
        <v>1.4783999999999999</v>
      </c>
      <c r="W1219" s="467">
        <f>PV_DATA[[#This Row],[QUANTITY]]/PV_DATA[[#This Row],[Qty/Pallet]]</f>
        <v>80</v>
      </c>
      <c r="X1219" s="1114">
        <f>PV_DATA[[#This Row],[QUANTITY]]/PV_DATA[[#This Row],[Qty/CT]]</f>
        <v>4</v>
      </c>
      <c r="Y1219" s="432" t="s">
        <v>7032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1561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46402</v>
      </c>
      <c r="BB1219" s="443">
        <f>YEAR(PV_DATA[[#This Row],[ETA for New Ark update]])</f>
        <v>2027</v>
      </c>
      <c r="BC1219" s="432">
        <f>MONTH(PV_DATA[[#This Row],[ETA for New Ark update]])</f>
        <v>1</v>
      </c>
      <c r="BD1219" s="432">
        <f>IFERROR(_xlfn.ISOWEEKNUM(PV_DATA[[#This Row],[ETA for New Ark update]]),0)</f>
        <v>2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7033</v>
      </c>
      <c r="B1220" s="440" t="s">
        <v>111</v>
      </c>
      <c r="C1220" s="440" t="str">
        <f>IFERROR(LEFT(PV_DATA[[#This Row],[TCL REFERENCE]],FIND(".",PV_DATA[[#This Row],[TCL REFERENCE]],1)-1),"Main Line")</f>
        <v>26Aug018</v>
      </c>
      <c r="D1220" s="440" t="s">
        <v>63</v>
      </c>
      <c r="E1220" s="440" t="s">
        <v>64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0" s="440" t="s">
        <v>402</v>
      </c>
      <c r="H1220" s="440" t="s">
        <v>311</v>
      </c>
      <c r="I1220" s="440" t="s">
        <v>689</v>
      </c>
      <c r="J1220" s="431" t="s">
        <v>96</v>
      </c>
      <c r="K1220" s="432"/>
      <c r="L1220" s="432"/>
      <c r="M1220" s="432"/>
      <c r="N1220" s="462">
        <v>46305</v>
      </c>
      <c r="O1220" s="432" t="s">
        <v>170</v>
      </c>
      <c r="P1220" s="432" t="s">
        <v>1977</v>
      </c>
      <c r="Q1220" s="432" t="s">
        <v>1978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560</v>
      </c>
      <c r="U1220" s="1212">
        <f>660*6</f>
        <v>3960</v>
      </c>
      <c r="V1220" s="449">
        <f>PV_DATA[[#This Row],[QUANTITY]]*PV_DATA[[#This Row],[WATT]]/1000000</f>
        <v>2.2176</v>
      </c>
      <c r="W1220" s="467">
        <f>PV_DATA[[#This Row],[QUANTITY]]/PV_DATA[[#This Row],[Qty/Pallet]]</f>
        <v>120</v>
      </c>
      <c r="X1220" s="1114">
        <f>PV_DATA[[#This Row],[QUANTITY]]/PV_DATA[[#This Row],[Qty/CT]]</f>
        <v>6</v>
      </c>
      <c r="Y1220" s="432" t="s">
        <v>7034</v>
      </c>
      <c r="Z1220" s="431"/>
      <c r="AA1220" s="432"/>
      <c r="AB1220" s="442"/>
      <c r="AC1220" s="468"/>
      <c r="AD1220" s="432"/>
      <c r="AE1220" s="432"/>
      <c r="AF1220" s="432" t="s">
        <v>122</v>
      </c>
      <c r="AG1220" s="432" t="s">
        <v>123</v>
      </c>
      <c r="AH1220" s="432" t="s">
        <v>314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3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0" s="442">
        <f>IFERROR(PV_DATA[[#This Row],[ODP ETA Port]]+PV_DATA[[#This Row],[Customs/Leg3 Assumption]],"n/a")</f>
        <v>46395</v>
      </c>
      <c r="BB1220" s="443">
        <f>YEAR(PV_DATA[[#This Row],[ETA for New Ark update]])</f>
        <v>2027</v>
      </c>
      <c r="BC1220" s="432">
        <f>MONTH(PV_DATA[[#This Row],[ETA for New Ark update]])</f>
        <v>1</v>
      </c>
      <c r="BD1220" s="432">
        <f>IFERROR(_xlfn.ISOWEEKNUM(PV_DATA[[#This Row],[ETA for New Ark update]]),0)</f>
        <v>1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ht="10.5" hidden="1">
      <c r="A1221" s="730" t="s">
        <v>7035</v>
      </c>
      <c r="B1221" s="440" t="s">
        <v>111</v>
      </c>
      <c r="C1221" s="440" t="str">
        <f>IFERROR(LEFT(PV_DATA[[#This Row],[TCL REFERENCE]],FIND(".",PV_DATA[[#This Row],[TCL REFERENCE]],1)-1),"Main Line")</f>
        <v>26Aug018</v>
      </c>
      <c r="D1221" s="440" t="s">
        <v>63</v>
      </c>
      <c r="E1221" s="440" t="s">
        <v>64</v>
      </c>
      <c r="F1221" s="440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1" s="440" t="s">
        <v>402</v>
      </c>
      <c r="H1221" s="440" t="s">
        <v>311</v>
      </c>
      <c r="I1221" s="440" t="s">
        <v>689</v>
      </c>
      <c r="J1221" s="431" t="s">
        <v>96</v>
      </c>
      <c r="K1221" s="432"/>
      <c r="L1221" s="432"/>
      <c r="M1221" s="432"/>
      <c r="N1221" s="462">
        <v>46305</v>
      </c>
      <c r="O1221" s="432" t="s">
        <v>170</v>
      </c>
      <c r="P1221" s="432" t="s">
        <v>1977</v>
      </c>
      <c r="Q1221" s="432" t="s">
        <v>1978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±1400mm</v>
      </c>
      <c r="T1221" s="443">
        <v>560</v>
      </c>
      <c r="U1221" s="1212">
        <f>660*6</f>
        <v>3960</v>
      </c>
      <c r="V1221" s="449">
        <f>PV_DATA[[#This Row],[QUANTITY]]*PV_DATA[[#This Row],[WATT]]/1000000</f>
        <v>2.2176</v>
      </c>
      <c r="W1221" s="467">
        <f>PV_DATA[[#This Row],[QUANTITY]]/PV_DATA[[#This Row],[Qty/Pallet]]</f>
        <v>120</v>
      </c>
      <c r="X1221" s="1114">
        <f>PV_DATA[[#This Row],[QUANTITY]]/PV_DATA[[#This Row],[Qty/CT]]</f>
        <v>6</v>
      </c>
      <c r="Y1221" s="432" t="s">
        <v>7036</v>
      </c>
      <c r="Z1221" s="431"/>
      <c r="AA1221" s="432"/>
      <c r="AB1221" s="442"/>
      <c r="AC1221" s="468"/>
      <c r="AD1221" s="432"/>
      <c r="AE1221" s="432"/>
      <c r="AF1221" s="432" t="s">
        <v>122</v>
      </c>
      <c r="AG1221" s="432" t="s">
        <v>123</v>
      </c>
      <c r="AH1221" s="432" t="s">
        <v>314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3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2"/>
      <c r="AW1221" s="442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>
        <f>IF(ISERROR(PV_DATA[[#This Row],[New Ark PO status]]),"",_xlfn.XLOOKUP(PV_DATA[[#This Row],[SPTN-PVHK New Ark PO'#]],New_Ark_Data[Purchase order Number],New_Ark_Data[Estimated time of arrival],"",0))</f>
        <v>0</v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1" s="442">
        <f>IFERROR(PV_DATA[[#This Row],[ODP ETA Port]]+PV_DATA[[#This Row],[Customs/Leg3 Assumption]],"n/a")</f>
        <v>46409</v>
      </c>
      <c r="BB1221" s="443">
        <f>YEAR(PV_DATA[[#This Row],[ETA for New Ark update]])</f>
        <v>2027</v>
      </c>
      <c r="BC1221" s="432">
        <f>MONTH(PV_DATA[[#This Row],[ETA for New Ark update]])</f>
        <v>1</v>
      </c>
      <c r="BD1221" s="432">
        <f>IFERROR(_xlfn.ISOWEEKNUM(PV_DATA[[#This Row],[ETA for New Ark update]]),0)</f>
        <v>3</v>
      </c>
      <c r="BE1221" s="432">
        <f>_xlfn.XLOOKUP(PV_DATA[[#This Row],[New Ark SKU]],Table9[New Ark SKU],Table9[Total PCS per Pallet],,0)</f>
        <v>33</v>
      </c>
      <c r="BF1221" s="432">
        <f>_xlfn.XLOOKUP(PV_DATA[[#This Row],[New Ark SKU]],Table9[New Ark SKU],Table9[Total PCS per 40HQ Container],,0)</f>
        <v>660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AEM</v>
      </c>
      <c r="BJ1221" s="431"/>
    </row>
    <row r="1222" spans="1:62" ht="10.5" hidden="1">
      <c r="A1222" s="730" t="s">
        <v>7037</v>
      </c>
      <c r="B1222" s="440" t="s">
        <v>111</v>
      </c>
      <c r="C1222" s="440" t="str">
        <f>IFERROR(LEFT(PV_DATA[[#This Row],[TCL REFERENCE]],FIND(".",PV_DATA[[#This Row],[TCL REFERENCE]],1)-1),"Main Line")</f>
        <v>Main Line</v>
      </c>
      <c r="D1222" s="440" t="s">
        <v>63</v>
      </c>
      <c r="E1222" s="440" t="s">
        <v>68</v>
      </c>
      <c r="F1222" s="440"/>
      <c r="G1222" s="440" t="s">
        <v>68</v>
      </c>
      <c r="H1222" s="463" t="s">
        <v>6273</v>
      </c>
      <c r="I1222" s="463" t="s">
        <v>6273</v>
      </c>
      <c r="J1222" s="431" t="s">
        <v>6273</v>
      </c>
      <c r="K1222" s="432"/>
      <c r="L1222" s="432"/>
      <c r="M1222" s="431" t="s">
        <v>6273</v>
      </c>
      <c r="N1222" s="462">
        <v>46238</v>
      </c>
      <c r="O1222" s="432" t="s">
        <v>132</v>
      </c>
      <c r="P1222" s="432" t="s">
        <v>189</v>
      </c>
      <c r="Q1222" s="432" t="s">
        <v>190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±1200mm</v>
      </c>
      <c r="T1222" s="443">
        <v>465</v>
      </c>
      <c r="U1222" s="1212" cm="1">
        <f t="array" ref="U1222">5184-fx_qty</f>
        <v>0</v>
      </c>
      <c r="V1222" s="445">
        <f>PV_DATA[[#This Row],[QUANTITY]]*PV_DATA[[#This Row],[WATT]]/1000000</f>
        <v>0</v>
      </c>
      <c r="W1222" s="467">
        <f>PV_DATA[[#This Row],[QUANTITY]]/PV_DATA[[#This Row],[Qty/Pallet]]</f>
        <v>0</v>
      </c>
      <c r="X1222" s="1114">
        <f>PV_DATA[[#This Row],[QUANTITY]]/PV_DATA[[#This Row],[Qty/CT]]</f>
        <v>0</v>
      </c>
      <c r="Y1222" s="432" t="s">
        <v>6650</v>
      </c>
      <c r="Z1222" s="431"/>
      <c r="AA1222" s="431" t="s">
        <v>5848</v>
      </c>
      <c r="AB1222" s="442"/>
      <c r="AC1222" s="468"/>
      <c r="AD1222" s="432"/>
      <c r="AE1222" s="432"/>
      <c r="AF1222" s="432" t="s">
        <v>122</v>
      </c>
      <c r="AG1222" s="432" t="s">
        <v>123</v>
      </c>
      <c r="AH1222" s="432" t="s">
        <v>68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O1222" s="432"/>
      <c r="AP1222" s="432"/>
      <c r="AQ1222" s="432"/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2"/>
      <c r="AW1222" s="442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2" t="str">
        <f>IFERROR(PV_DATA[[#This Row],[ODP ETA Port]]+PV_DATA[[#This Row],[Customs/Leg3 Assumption]],"n/a")</f>
        <v>n/a</v>
      </c>
      <c r="BB1222" s="443" t="e">
        <f>YEAR(PV_DATA[[#This Row],[ETA for New Ark update]])</f>
        <v>#VALUE!</v>
      </c>
      <c r="BC1222" s="432" t="e">
        <f>MONTH(PV_DATA[[#This Row],[ETA for New Ark update]])</f>
        <v>#VALUE!</v>
      </c>
      <c r="BD1222" s="432">
        <f>IFERROR(_xlfn.ISOWEEKNUM(PV_DATA[[#This Row],[ETA for New Ark update]]),0)</f>
        <v>0</v>
      </c>
      <c r="BE1222" s="432">
        <f>_xlfn.XLOOKUP(PV_DATA[[#This Row],[New Ark SKU]],Table9[New Ark SKU],Table9[Total PCS per Pallet],,0)</f>
        <v>36</v>
      </c>
      <c r="BF1222" s="432">
        <f>_xlfn.XLOOKUP(PV_DATA[[#This Row],[New Ark SKU]],Table9[New Ark SKU],Table9[Total PCS per 40HQ Container],,0)</f>
        <v>864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n/a</v>
      </c>
      <c r="BJ1222" s="431"/>
    </row>
    <row r="1223" spans="1:62" ht="10.5" hidden="1">
      <c r="A1223" s="730" t="s">
        <v>7038</v>
      </c>
      <c r="B1223" s="463" t="s">
        <v>111</v>
      </c>
      <c r="C1223" s="463" t="str">
        <f>IFERROR(LEFT(PV_DATA[[#This Row],[TCL REFERENCE]],FIND(".",PV_DATA[[#This Row],[TCL REFERENCE]],1)-1),"Main Line")</f>
        <v>Main Line</v>
      </c>
      <c r="D1223" s="463" t="s">
        <v>63</v>
      </c>
      <c r="E1223" s="440" t="s">
        <v>68</v>
      </c>
      <c r="F1223" s="440"/>
      <c r="G1223" s="440" t="s">
        <v>68</v>
      </c>
      <c r="H1223" s="463" t="s">
        <v>6273</v>
      </c>
      <c r="I1223" s="463" t="s">
        <v>6273</v>
      </c>
      <c r="J1223" s="431" t="s">
        <v>6273</v>
      </c>
      <c r="K1223" s="431"/>
      <c r="L1223" s="431"/>
      <c r="M1223" s="431" t="s">
        <v>6273</v>
      </c>
      <c r="N1223" s="462">
        <v>46238</v>
      </c>
      <c r="O1223" s="431" t="s">
        <v>132</v>
      </c>
      <c r="P1223" s="431" t="s">
        <v>1062</v>
      </c>
      <c r="Q1223" s="431" t="s">
        <v>1063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±1200mm</v>
      </c>
      <c r="T1223" s="434">
        <v>470</v>
      </c>
      <c r="U1223" s="1207" cm="1">
        <f t="array" ref="U1223">16416-fx_qty</f>
        <v>0</v>
      </c>
      <c r="V1223" s="435">
        <f>PV_DATA[[#This Row],[QUANTITY]]*PV_DATA[[#This Row],[WATT]]/1000000</f>
        <v>0</v>
      </c>
      <c r="W1223" s="436">
        <f>PV_DATA[[#This Row],[QUANTITY]]/PV_DATA[[#This Row],[Qty/Pallet]]</f>
        <v>0</v>
      </c>
      <c r="X1223" s="1110">
        <f>PV_DATA[[#This Row],[QUANTITY]]/PV_DATA[[#This Row],[Qty/CT]]</f>
        <v>0</v>
      </c>
      <c r="Y1223" s="432" t="s">
        <v>6650</v>
      </c>
      <c r="Z1223" s="431"/>
      <c r="AA1223" s="431" t="s">
        <v>5848</v>
      </c>
      <c r="AB1223" s="438"/>
      <c r="AC1223" s="619"/>
      <c r="AD1223" s="440"/>
      <c r="AE1223" s="431"/>
      <c r="AF1223" s="431" t="s">
        <v>122</v>
      </c>
      <c r="AG1223" s="431" t="s">
        <v>123</v>
      </c>
      <c r="AH1223" s="432" t="s">
        <v>68</v>
      </c>
      <c r="AI1223" s="438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N1223" s="438"/>
      <c r="AQ1223" s="431"/>
      <c r="AR1223" s="431"/>
      <c r="AS1223" s="431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3" s="438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38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38" t="str">
        <f>IFERROR(PV_DATA[[#This Row],[ODP ETA Port]]+PV_DATA[[#This Row],[Customs/Leg3 Assumption]],"n/a")</f>
        <v>n/a</v>
      </c>
      <c r="BB1223" s="434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2">
        <f>_xlfn.XLOOKUP(PV_DATA[[#This Row],[New Ark SKU]],Table9[New Ark SKU],Table9[Total PCS per Pallet],,0)</f>
        <v>36</v>
      </c>
      <c r="BF1223" s="432">
        <f>_xlfn.XLOOKUP(PV_DATA[[#This Row],[New Ark SKU]],Table9[New Ark SKU],Table9[Total PCS per 40HQ Container],,0)</f>
        <v>864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n/a</v>
      </c>
      <c r="BJ1223" s="431"/>
    </row>
    <row r="1224" spans="1:62" ht="10.5" hidden="1">
      <c r="A1224" s="730" t="s">
        <v>7039</v>
      </c>
      <c r="B1224" s="463" t="s">
        <v>111</v>
      </c>
      <c r="C1224" s="463" t="str">
        <f>IFERROR(LEFT(PV_DATA[[#This Row],[TCL REFERENCE]],FIND(".",PV_DATA[[#This Row],[TCL REFERENCE]],1)-1),"Main Line")</f>
        <v>26Aug020</v>
      </c>
      <c r="D1224" s="463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4" s="440" t="s">
        <v>402</v>
      </c>
      <c r="H1224" s="463" t="s">
        <v>67</v>
      </c>
      <c r="I1224" s="440" t="s">
        <v>689</v>
      </c>
      <c r="J1224" s="431" t="s">
        <v>96</v>
      </c>
      <c r="K1224" s="431"/>
      <c r="L1224" s="431"/>
      <c r="M1224" s="431" t="s">
        <v>6531</v>
      </c>
      <c r="N1224" s="462">
        <v>46238</v>
      </c>
      <c r="O1224" s="431" t="s">
        <v>132</v>
      </c>
      <c r="P1224" s="431" t="s">
        <v>1062</v>
      </c>
      <c r="Q1224" s="431" t="s">
        <v>1063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±1200mm</v>
      </c>
      <c r="T1224" s="434">
        <v>470</v>
      </c>
      <c r="U1224" s="1207">
        <v>864</v>
      </c>
      <c r="V1224" s="435">
        <f>PV_DATA[[#This Row],[QUANTITY]]*PV_DATA[[#This Row],[WATT]]/1000000</f>
        <v>0.40608</v>
      </c>
      <c r="W1224" s="436">
        <f>PV_DATA[[#This Row],[QUANTITY]]/PV_DATA[[#This Row],[Qty/Pallet]]</f>
        <v>24</v>
      </c>
      <c r="X1224" s="1110">
        <f>PV_DATA[[#This Row],[QUANTITY]]/PV_DATA[[#This Row],[Qty/CT]]</f>
        <v>1</v>
      </c>
      <c r="Y1224" s="432" t="s">
        <v>2470</v>
      </c>
      <c r="Z1224" s="431"/>
      <c r="AA1224" s="431" t="s">
        <v>5848</v>
      </c>
      <c r="AB1224" s="438">
        <v>46280</v>
      </c>
      <c r="AC1224" s="629">
        <f>IF(PV_DATA[[#This Row],[Pick-Up Date]]&lt;&gt;"",_xlfn.ISOWEEKNUM(PV_DATA[[#This Row],[Pick-Up Date]]),"")</f>
        <v>38</v>
      </c>
      <c r="AD1224" s="440"/>
      <c r="AE1224" s="431"/>
      <c r="AF1224" s="431" t="s">
        <v>5992</v>
      </c>
      <c r="AG1224" s="431" t="s">
        <v>5992</v>
      </c>
      <c r="AH1224" s="432" t="s">
        <v>105</v>
      </c>
      <c r="AI1224" s="628">
        <v>46282</v>
      </c>
      <c r="AK1224" s="438" t="str">
        <f>IFERROR(IF(VLOOKUP(AT1224,Vessel!A:F,5,FALSE)=0,"",VLOOKUP(AT1224,Vessel!A:F,5,FALSE)),"")</f>
        <v/>
      </c>
      <c r="AL1224" s="628">
        <v>46315</v>
      </c>
      <c r="AN1224" s="438"/>
      <c r="AP1224" s="431" t="s">
        <v>6657</v>
      </c>
      <c r="AQ1224" s="431" t="s">
        <v>80</v>
      </c>
      <c r="AR1224" s="431" t="s">
        <v>6658</v>
      </c>
      <c r="AS1224" s="431" t="s">
        <v>6659</v>
      </c>
      <c r="AT1224" s="431" t="s">
        <v>6659</v>
      </c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24" s="438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38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4" s="438">
        <f>IFERROR(PV_DATA[[#This Row],[ODP ETA Port]]+PV_DATA[[#This Row],[Customs/Leg3 Assumption]],"n/a")</f>
        <v>46322</v>
      </c>
      <c r="BB1224" s="434">
        <f>YEAR(PV_DATA[[#This Row],[ETA for New Ark update]])</f>
        <v>2026</v>
      </c>
      <c r="BC1224" s="431">
        <f>MONTH(PV_DATA[[#This Row],[ETA for New Ark update]])</f>
        <v>10</v>
      </c>
      <c r="BD1224" s="431">
        <f>IFERROR(_xlfn.ISOWEEKNUM(PV_DATA[[#This Row],[ETA for New Ark update]]),0)</f>
        <v>44</v>
      </c>
      <c r="BE1224" s="432">
        <f>_xlfn.XLOOKUP(PV_DATA[[#This Row],[New Ark SKU]],Table9[New Ark SKU],Table9[Total PCS per Pallet],,0)</f>
        <v>36</v>
      </c>
      <c r="BF1224" s="432">
        <f>_xlfn.XLOOKUP(PV_DATA[[#This Row],[New Ark SKU]],Table9[New Ark SKU],Table9[Total PCS per 40HQ Container],,0)</f>
        <v>864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AEU</v>
      </c>
      <c r="BJ1224" s="431"/>
    </row>
    <row r="1225" spans="1:62" ht="13.5" hidden="1" customHeight="1">
      <c r="A1225" s="730" t="s">
        <v>7040</v>
      </c>
      <c r="B1225" s="440" t="s">
        <v>61</v>
      </c>
      <c r="C1225" s="440" t="str">
        <f>IFERROR(LEFT(PV_DATA[[#This Row],[TCL REFERENCE]],FIND(".",PV_DATA[[#This Row],[TCL REFERENCE]],1)-1),"Main Line")</f>
        <v>Main Line</v>
      </c>
      <c r="D1225" s="440" t="s">
        <v>63</v>
      </c>
      <c r="E1225" s="440" t="s">
        <v>68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40" t="s">
        <v>68</v>
      </c>
      <c r="H1225" s="440" t="s">
        <v>68</v>
      </c>
      <c r="I1225" s="440" t="s">
        <v>68</v>
      </c>
      <c r="J1225" s="431" t="s">
        <v>68</v>
      </c>
      <c r="K1225" s="432"/>
      <c r="L1225" s="432"/>
      <c r="M1225" s="432" t="s">
        <v>68</v>
      </c>
      <c r="N1225" s="462">
        <v>46272</v>
      </c>
      <c r="O1225" s="432" t="s">
        <v>4526</v>
      </c>
      <c r="P1225" s="431" t="s">
        <v>71</v>
      </c>
      <c r="Q1225" s="432" t="s">
        <v>72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±1200mm</v>
      </c>
      <c r="T1225" s="443">
        <v>500</v>
      </c>
      <c r="U1225" s="1212" cm="1">
        <f t="array" ref="U1225">19872-fx_qty</f>
        <v>0</v>
      </c>
      <c r="V1225" s="449">
        <f>PV_DATA[[#This Row],[QUANTITY]]*PV_DATA[[#This Row],[WATT]]/1000000</f>
        <v>0</v>
      </c>
      <c r="W1225" s="467">
        <f>PV_DATA[[#This Row],[QUANTITY]]/PV_DATA[[#This Row],[Qty/Pallet]]</f>
        <v>0</v>
      </c>
      <c r="X1225" s="1114">
        <f>PV_DATA[[#This Row],[QUANTITY]]/PV_DATA[[#This Row],[Qty/CT]]</f>
        <v>0</v>
      </c>
      <c r="Y1225" s="432" t="s">
        <v>6650</v>
      </c>
      <c r="Z1225" s="431" t="str">
        <f t="shared" ref="Z1225:Z1235" si="34">IF(AN1225&lt;&gt;"","COMPLETED",IF(AK1225&lt;&gt;"","IN-TRANSIT",""))</f>
        <v/>
      </c>
      <c r="AA1225" s="432"/>
      <c r="AB1225" s="442"/>
      <c r="AC1225" s="468" t="str">
        <f>IF(PV_DATA[[#This Row],[Pick-Up Date]]&lt;&gt;"",_xlfn.ISOWEEKNUM(PV_DATA[[#This Row],[Pick-Up Date]]),"")</f>
        <v/>
      </c>
      <c r="AD1225" s="432"/>
      <c r="AE1225" s="432"/>
      <c r="AF1225" s="448" t="s">
        <v>61</v>
      </c>
      <c r="AG1225" s="448" t="s">
        <v>61</v>
      </c>
      <c r="AH1225" s="432" t="s">
        <v>68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N1225" s="588" t="str">
        <f>IFERROR(IF(VLOOKUP(AT1225,Vessel!A:I,9,FALSE)=0,"",VLOOKUP(AT1225,Vessel!A:I,9,FALSE)),"")</f>
        <v/>
      </c>
      <c r="AO1225" s="432"/>
      <c r="AP1225" s="432"/>
      <c r="AQ1225" s="446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2"/>
      <c r="AW1225" s="442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 t="str">
        <f>IF(ISERROR(PV_DATA[[#This Row],[New Ark PO status]]),"",_xlfn.XLOOKUP(PV_DATA[[#This Row],[SPTN-PVHK New Ark PO'#]],New_Ark_Data[Purchase order Number],New_Ark_Data[Estimated time of arrival],"",0))</f>
        <v/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2" t="str">
        <f>IFERROR(PV_DATA[[#This Row],[ODP ETA Port]]+PV_DATA[[#This Row],[Customs/Leg3 Assumption]],"n/a")</f>
        <v>n/a</v>
      </c>
      <c r="BB1225" s="443" t="s">
        <v>6273</v>
      </c>
      <c r="BC1225" s="443" t="s">
        <v>6273</v>
      </c>
      <c r="BD1225" s="432">
        <f>IFERROR(_xlfn.ISOWEEKNUM(PV_DATA[[#This Row],[ETA for New Ark update]]),0)</f>
        <v>0</v>
      </c>
      <c r="BE1225" s="432">
        <f>_xlfn.XLOOKUP(PV_DATA[[#This Row],[New Ark SKU]],Table9[New Ark SKU],Table9[Total PCS per Pallet],,0)</f>
        <v>36</v>
      </c>
      <c r="BF1225" s="432">
        <f>_xlfn.XLOOKUP(PV_DATA[[#This Row],[New Ark SKU]],Table9[New Ark SKU],Table9[Total PCS per 40HQ Container],,0)</f>
        <v>864</v>
      </c>
      <c r="BG1225" s="432" t="str">
        <f>_xlfn.XLOOKUP(PV_DATA[[#This Row],[New Ark SKU]],Table9[New Ark SKU],Table9[Back Glass],,0)</f>
        <v>Black glazing</v>
      </c>
      <c r="BH1225" s="624" t="str">
        <f>_xlfn.XLOOKUP(PV_DATA[[#This Row],[PORT DESTINATION]],Table12[PORT DESTINATION],Table12[Cosco Line],,0)</f>
        <v>n/a</v>
      </c>
      <c r="BJ1225" s="431"/>
    </row>
    <row r="1226" spans="1:62" ht="13.5" hidden="1" customHeight="1">
      <c r="A1226" s="730" t="s">
        <v>7041</v>
      </c>
      <c r="B1226" s="440" t="s">
        <v>61</v>
      </c>
      <c r="C1226" s="440" t="str">
        <f>IFERROR(LEFT(PV_DATA[[#This Row],[TCL REFERENCE]],FIND(".",PV_DATA[[#This Row],[TCL REFERENCE]],1)-1),"Main Line")</f>
        <v>26Aug021</v>
      </c>
      <c r="D1226" s="440" t="s">
        <v>63</v>
      </c>
      <c r="E1226" s="440" t="s">
        <v>68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40" t="s">
        <v>68</v>
      </c>
      <c r="H1226" s="440" t="s">
        <v>68</v>
      </c>
      <c r="I1226" s="440" t="s">
        <v>68</v>
      </c>
      <c r="J1226" s="431" t="s">
        <v>68</v>
      </c>
      <c r="K1226" s="432"/>
      <c r="L1226" s="432"/>
      <c r="M1226" s="432" t="s">
        <v>68</v>
      </c>
      <c r="N1226" s="462">
        <v>46272</v>
      </c>
      <c r="O1226" s="432" t="s">
        <v>4526</v>
      </c>
      <c r="P1226" s="431" t="s">
        <v>71</v>
      </c>
      <c r="Q1226" s="432" t="s">
        <v>72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±1200mm</v>
      </c>
      <c r="T1226" s="443">
        <v>500</v>
      </c>
      <c r="U1226" s="1212" cm="1">
        <f t="array" ref="U1226">19872-fx_qty</f>
        <v>19872</v>
      </c>
      <c r="V1226" s="449">
        <f>PV_DATA[[#This Row],[QUANTITY]]*PV_DATA[[#This Row],[WATT]]/1000000</f>
        <v>9.9359999999999999</v>
      </c>
      <c r="W1226" s="467">
        <f>PV_DATA[[#This Row],[QUANTITY]]/PV_DATA[[#This Row],[Qty/Pallet]]</f>
        <v>552</v>
      </c>
      <c r="X1226" s="1114">
        <f>PV_DATA[[#This Row],[QUANTITY]]/PV_DATA[[#This Row],[Qty/CT]]</f>
        <v>23</v>
      </c>
      <c r="Y1226" s="432" t="s">
        <v>6650</v>
      </c>
      <c r="Z1226" s="431" t="str">
        <f t="shared" si="34"/>
        <v/>
      </c>
      <c r="AA1226" s="547" t="s">
        <v>5848</v>
      </c>
      <c r="AB1226" s="442"/>
      <c r="AC1226" s="468" t="str">
        <f>IF(PV_DATA[[#This Row],[Pick-Up Date]]&lt;&gt;"",_xlfn.ISOWEEKNUM(PV_DATA[[#This Row],[Pick-Up Date]]),"")</f>
        <v/>
      </c>
      <c r="AD1226" s="432"/>
      <c r="AE1226" s="432"/>
      <c r="AF1226" s="448" t="s">
        <v>61</v>
      </c>
      <c r="AG1226" s="448" t="s">
        <v>61</v>
      </c>
      <c r="AH1226" s="432" t="s">
        <v>68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N1226" s="588" t="str">
        <f>IFERROR(IF(VLOOKUP(AT1226,Vessel!A:I,9,FALSE)=0,"",VLOOKUP(AT1226,Vessel!A:I,9,FALSE)),"")</f>
        <v/>
      </c>
      <c r="AO1226" s="432"/>
      <c r="AP1226" s="432"/>
      <c r="AQ1226" s="446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2"/>
      <c r="AW1226" s="442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2" t="str">
        <f>IFERROR(PV_DATA[[#This Row],[ODP ETA Port]]+PV_DATA[[#This Row],[Customs/Leg3 Assumption]],"n/a")</f>
        <v>n/a</v>
      </c>
      <c r="BB1226" s="443" t="s">
        <v>6273</v>
      </c>
      <c r="BC1226" s="443" t="s">
        <v>6273</v>
      </c>
      <c r="BD1226" s="432">
        <f>IFERROR(_xlfn.ISOWEEKNUM(PV_DATA[[#This Row],[ETA for New Ark update]]),0)</f>
        <v>0</v>
      </c>
      <c r="BE1226" s="432">
        <f>_xlfn.XLOOKUP(PV_DATA[[#This Row],[New Ark SKU]],Table9[New Ark SKU],Table9[Total PCS per Pallet],,0)</f>
        <v>36</v>
      </c>
      <c r="BF1226" s="432">
        <f>_xlfn.XLOOKUP(PV_DATA[[#This Row],[New Ark SKU]],Table9[New Ark SKU],Table9[Total PCS per 40HQ Container],,0)</f>
        <v>864</v>
      </c>
      <c r="BG1226" s="432" t="str">
        <f>_xlfn.XLOOKUP(PV_DATA[[#This Row],[New Ark SKU]],Table9[New Ark SKU],Table9[Back Glass],,0)</f>
        <v>Black glazing</v>
      </c>
      <c r="BH1226" s="624" t="str">
        <f>_xlfn.XLOOKUP(PV_DATA[[#This Row],[PORT DESTINATION]],Table12[PORT DESTINATION],Table12[Cosco Line],,0)</f>
        <v>n/a</v>
      </c>
      <c r="BJ1226" s="431"/>
    </row>
    <row r="1227" spans="1:62" ht="13.5" hidden="1" customHeight="1">
      <c r="A1227" s="730" t="s">
        <v>7042</v>
      </c>
      <c r="B1227" s="440" t="s">
        <v>61</v>
      </c>
      <c r="C1227" s="440" t="str">
        <f>IFERROR(LEFT(PV_DATA[[#This Row],[TCL REFERENCE]],FIND(".",PV_DATA[[#This Row],[TCL REFERENCE]],1)-1),"Main Line")</f>
        <v>Main Line</v>
      </c>
      <c r="D1227" s="440" t="s">
        <v>63</v>
      </c>
      <c r="E1227" s="440" t="s">
        <v>68</v>
      </c>
      <c r="F1227" s="440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40" t="s">
        <v>68</v>
      </c>
      <c r="H1227" s="440" t="s">
        <v>68</v>
      </c>
      <c r="I1227" s="440" t="s">
        <v>68</v>
      </c>
      <c r="J1227" s="431" t="s">
        <v>68</v>
      </c>
      <c r="K1227" s="432"/>
      <c r="L1227" s="432"/>
      <c r="M1227" s="432" t="s">
        <v>68</v>
      </c>
      <c r="N1227" s="462">
        <v>46272</v>
      </c>
      <c r="O1227" s="432" t="s">
        <v>4526</v>
      </c>
      <c r="P1227" s="431" t="s">
        <v>1151</v>
      </c>
      <c r="Q1227" s="432" t="s">
        <v>421</v>
      </c>
      <c r="R1227" s="432" t="str">
        <f>_xlfn.XLOOKUP(PV_DATA[[#This Row],[New Ark SKU]],Table9[New Ark SKU],Table9[Connector],,0)</f>
        <v>EVO2A</v>
      </c>
      <c r="S1227" s="443" t="str">
        <f>_xlfn.XLOOKUP(PV_DATA[[#This Row],[New Ark SKU]],Table9[New Ark SKU],Table9[Cable],,0)</f>
        <v>±1200mm</v>
      </c>
      <c r="T1227" s="443">
        <v>505</v>
      </c>
      <c r="U1227" s="1208" cm="1">
        <f t="array" ref="U1227">13824-fx_qty</f>
        <v>3456</v>
      </c>
      <c r="V1227" s="449">
        <f>PV_DATA[[#This Row],[QUANTITY]]*PV_DATA[[#This Row],[WATT]]/1000000</f>
        <v>1.7452799999999999</v>
      </c>
      <c r="W1227" s="467">
        <f>PV_DATA[[#This Row],[QUANTITY]]/PV_DATA[[#This Row],[Qty/Pallet]]</f>
        <v>96</v>
      </c>
      <c r="X1227" s="1114">
        <f>PV_DATA[[#This Row],[QUANTITY]]/PV_DATA[[#This Row],[Qty/CT]]</f>
        <v>4</v>
      </c>
      <c r="Y1227" s="432" t="s">
        <v>6650</v>
      </c>
      <c r="Z1227" s="431" t="str">
        <f t="shared" si="34"/>
        <v/>
      </c>
      <c r="AA1227" s="432" t="s">
        <v>5848</v>
      </c>
      <c r="AB1227" s="442"/>
      <c r="AC1227" s="468" t="str">
        <f>IF(PV_DATA[[#This Row],[Pick-Up Date]]&lt;&gt;"",_xlfn.ISOWEEKNUM(PV_DATA[[#This Row],[Pick-Up Date]]),"")</f>
        <v/>
      </c>
      <c r="AD1227" s="432"/>
      <c r="AE1227" s="432"/>
      <c r="AF1227" s="448" t="s">
        <v>61</v>
      </c>
      <c r="AG1227" s="448" t="s">
        <v>61</v>
      </c>
      <c r="AH1227" s="432" t="s">
        <v>68</v>
      </c>
      <c r="AI1227" s="442"/>
      <c r="AJ1227" s="438" t="str">
        <f>IFERROR(VLOOKUP(AT1227, Vessel!A:D, 4, FALSE), "")</f>
        <v/>
      </c>
      <c r="AK1227" s="438" t="str">
        <f>IFERROR(IF(VLOOKUP(AT1227,Vessel!A:F,5,FALSE)=0,"",VLOOKUP(AT1227,Vessel!A:F,5,FALSE)),"")</f>
        <v/>
      </c>
      <c r="AL1227" s="442"/>
      <c r="AM1227" s="442"/>
      <c r="AN1227" s="588" t="str">
        <f>IFERROR(IF(VLOOKUP(AT1227,Vessel!A:I,9,FALSE)=0,"",VLOOKUP(AT1227,Vessel!A:I,9,FALSE)),"")</f>
        <v/>
      </c>
      <c r="AO1227" s="432"/>
      <c r="AP1227" s="432"/>
      <c r="AQ1227" s="446"/>
      <c r="AR1227" s="432"/>
      <c r="AS1227" s="432"/>
      <c r="AT1227" s="432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2"/>
      <c r="AW1227" s="442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 t="str">
        <f>IF(ISERROR(PV_DATA[[#This Row],[New Ark PO status]]),"",_xlfn.XLOOKUP(PV_DATA[[#This Row],[SPTN-PVHK New Ark PO'#]],New_Ark_Data[Purchase order Number],New_Ark_Data[Estimated time of arrival],"",0))</f>
        <v/>
      </c>
      <c r="AZ12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2" t="str">
        <f>IFERROR(PV_DATA[[#This Row],[ODP ETA Port]]+PV_DATA[[#This Row],[Customs/Leg3 Assumption]],"n/a")</f>
        <v>n/a</v>
      </c>
      <c r="BB1227" s="443" t="s">
        <v>6273</v>
      </c>
      <c r="BC1227" s="443" t="s">
        <v>6273</v>
      </c>
      <c r="BD1227" s="432">
        <f>IFERROR(_xlfn.ISOWEEKNUM(PV_DATA[[#This Row],[ETA for New Ark update]]),0)</f>
        <v>0</v>
      </c>
      <c r="BE1227" s="432">
        <f>_xlfn.XLOOKUP(PV_DATA[[#This Row],[New Ark SKU]],Table9[New Ark SKU],Table9[Total PCS per Pallet],,0)</f>
        <v>36</v>
      </c>
      <c r="BF1227" s="432">
        <f>_xlfn.XLOOKUP(PV_DATA[[#This Row],[New Ark SKU]],Table9[New Ark SKU],Table9[Total PCS per 40HQ Container],,0)</f>
        <v>864</v>
      </c>
      <c r="BG1227" s="432" t="str">
        <f>_xlfn.XLOOKUP(PV_DATA[[#This Row],[New Ark SKU]],Table9[New Ark SKU],Table9[Back Glass],,0)</f>
        <v>Black glazing</v>
      </c>
      <c r="BH1227" s="624" t="str">
        <f>_xlfn.XLOOKUP(PV_DATA[[#This Row],[PORT DESTINATION]],Table12[PORT DESTINATION],Table12[Cosco Line],,0)</f>
        <v>n/a</v>
      </c>
      <c r="BJ1227" s="431"/>
    </row>
    <row r="1228" spans="1:62" ht="13.5" hidden="1" customHeight="1">
      <c r="A1228" s="730" t="s">
        <v>7043</v>
      </c>
      <c r="B1228" s="440" t="s">
        <v>61</v>
      </c>
      <c r="C1228" s="440" t="str">
        <f>IFERROR(LEFT(PV_DATA[[#This Row],[TCL REFERENCE]],FIND(".",PV_DATA[[#This Row],[TCL REFERENCE]],1)-1),"Main Line")</f>
        <v>26Aug022</v>
      </c>
      <c r="D1228" s="440" t="s">
        <v>63</v>
      </c>
      <c r="E1228" s="440" t="s">
        <v>64</v>
      </c>
      <c r="F1228" s="440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8" s="440" t="s">
        <v>402</v>
      </c>
      <c r="H1228" s="440" t="s">
        <v>67</v>
      </c>
      <c r="I1228" s="440" t="s">
        <v>689</v>
      </c>
      <c r="J1228" s="432" t="s">
        <v>96</v>
      </c>
      <c r="K1228" s="432"/>
      <c r="L1228" s="432"/>
      <c r="M1228" s="432" t="s">
        <v>68</v>
      </c>
      <c r="N1228" s="462">
        <v>46272</v>
      </c>
      <c r="O1228" s="432" t="s">
        <v>4526</v>
      </c>
      <c r="P1228" s="431" t="s">
        <v>1151</v>
      </c>
      <c r="Q1228" s="432" t="s">
        <v>421</v>
      </c>
      <c r="R1228" s="432" t="str">
        <f>_xlfn.XLOOKUP(PV_DATA[[#This Row],[New Ark SKU]],Table9[New Ark SKU],Table9[Connector],,0)</f>
        <v>EVO2A</v>
      </c>
      <c r="S1228" s="443" t="str">
        <f>_xlfn.XLOOKUP(PV_DATA[[#This Row],[New Ark SKU]],Table9[New Ark SKU],Table9[Cable],,0)</f>
        <v>±1200mm</v>
      </c>
      <c r="T1228" s="443">
        <v>505</v>
      </c>
      <c r="U1228" s="1208">
        <f>864*6</f>
        <v>5184</v>
      </c>
      <c r="V1228" s="449">
        <f>PV_DATA[[#This Row],[QUANTITY]]*PV_DATA[[#This Row],[WATT]]/1000000</f>
        <v>2.6179199999999998</v>
      </c>
      <c r="W1228" s="467">
        <f>PV_DATA[[#This Row],[QUANTITY]]/PV_DATA[[#This Row],[Qty/Pallet]]</f>
        <v>144</v>
      </c>
      <c r="X1228" s="1114">
        <f>PV_DATA[[#This Row],[QUANTITY]]/PV_DATA[[#This Row],[Qty/CT]]</f>
        <v>6</v>
      </c>
      <c r="Y1228" s="432" t="s">
        <v>2470</v>
      </c>
      <c r="Z1228" s="431" t="str">
        <f>IF(AN1228&lt;&gt;"","COMPLETED",IF(AK1228&lt;&gt;"","IN-TRANSIT",""))</f>
        <v/>
      </c>
      <c r="AA1228" s="432" t="s">
        <v>5848</v>
      </c>
      <c r="AB1228" s="442"/>
      <c r="AC1228" s="468" t="str">
        <f>IF(PV_DATA[[#This Row],[Pick-Up Date]]&lt;&gt;"",_xlfn.ISOWEEKNUM(PV_DATA[[#This Row],[Pick-Up Date]]),"")</f>
        <v/>
      </c>
      <c r="AD1228" s="432"/>
      <c r="AE1228" s="432"/>
      <c r="AF1228" s="448" t="s">
        <v>61</v>
      </c>
      <c r="AG1228" s="448" t="s">
        <v>61</v>
      </c>
      <c r="AH1228" s="432" t="s">
        <v>78</v>
      </c>
      <c r="AI1228" s="442"/>
      <c r="AJ1228" s="438" t="str">
        <f>IFERROR(VLOOKUP(AT1228, Vessel!A:D, 4, FALSE), "")</f>
        <v/>
      </c>
      <c r="AK1228" s="438" t="str">
        <f>IFERROR(IF(VLOOKUP(AT1228,Vessel!A:F,5,FALSE)=0,"",VLOOKUP(AT1228,Vessel!A:F,5,FALSE)),"")</f>
        <v/>
      </c>
      <c r="AL1228" s="442"/>
      <c r="AM1228" s="442"/>
      <c r="AN1228" s="588" t="str">
        <f>IFERROR(IF(VLOOKUP(AT1228,Vessel!A:I,9,FALSE)=0,"",VLOOKUP(AT1228,Vessel!A:I,9,FALSE)),"")</f>
        <v/>
      </c>
      <c r="AO1228" s="432"/>
      <c r="AP1228" s="432"/>
      <c r="AQ1228" s="1126" t="s">
        <v>80</v>
      </c>
      <c r="AR1228" s="432"/>
      <c r="AS1228" s="432"/>
      <c r="AT1228" s="432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2"/>
      <c r="AW1228" s="442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2">
        <f>IF(ISERROR(PV_DATA[[#This Row],[New Ark PO status]]),"",_xlfn.XLOOKUP(PV_DATA[[#This Row],[SPTN-PVHK New Ark PO'#]],New_Ark_Data[Purchase order Number],New_Ark_Data[Estimated time of arrival],"",0))</f>
        <v>0</v>
      </c>
      <c r="AZ122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8" s="442">
        <f>IFERROR(PV_DATA[[#This Row],[ODP ETA Port]]+PV_DATA[[#This Row],[Customs/Leg3 Assumption]],"n/a")</f>
        <v>46372</v>
      </c>
      <c r="BB1228" s="443" t="s">
        <v>6531</v>
      </c>
      <c r="BC1228" s="443" t="s">
        <v>6531</v>
      </c>
      <c r="BD1228" s="432">
        <f>IFERROR(_xlfn.ISOWEEKNUM(PV_DATA[[#This Row],[ETA for New Ark update]]),0)</f>
        <v>51</v>
      </c>
      <c r="BE1228" s="432">
        <f>_xlfn.XLOOKUP(PV_DATA[[#This Row],[New Ark SKU]],Table9[New Ark SKU],Table9[Total PCS per Pallet],,0)</f>
        <v>36</v>
      </c>
      <c r="BF1228" s="432">
        <f>_xlfn.XLOOKUP(PV_DATA[[#This Row],[New Ark SKU]],Table9[New Ark SKU],Table9[Total PCS per 40HQ Container],,0)</f>
        <v>864</v>
      </c>
      <c r="BG1228" s="432" t="str">
        <f>_xlfn.XLOOKUP(PV_DATA[[#This Row],[New Ark SKU]],Table9[New Ark SKU],Table9[Back Glass],,0)</f>
        <v>Black glazing</v>
      </c>
      <c r="BH1228" s="624" t="str">
        <f>_xlfn.XLOOKUP(PV_DATA[[#This Row],[PORT DESTINATION]],Table12[PORT DESTINATION],Table12[Cosco Line],,0)</f>
        <v>AEM</v>
      </c>
      <c r="BJ1228" s="431"/>
    </row>
    <row r="1229" spans="1:62" ht="13.5" hidden="1" customHeight="1">
      <c r="A1229" s="730" t="s">
        <v>7044</v>
      </c>
      <c r="B1229" s="440" t="s">
        <v>61</v>
      </c>
      <c r="C1229" s="440" t="str">
        <f>IFERROR(LEFT(PV_DATA[[#This Row],[TCL REFERENCE]],FIND(".",PV_DATA[[#This Row],[TCL REFERENCE]],1)-1),"Main Line")</f>
        <v>26Aug022</v>
      </c>
      <c r="D1229" s="440" t="s">
        <v>63</v>
      </c>
      <c r="E1229" s="440" t="s">
        <v>64</v>
      </c>
      <c r="F1229" s="440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9" s="440" t="s">
        <v>402</v>
      </c>
      <c r="H1229" s="440" t="s">
        <v>67</v>
      </c>
      <c r="I1229" s="440" t="s">
        <v>689</v>
      </c>
      <c r="J1229" s="432" t="s">
        <v>96</v>
      </c>
      <c r="K1229" s="432"/>
      <c r="L1229" s="432"/>
      <c r="M1229" s="432" t="s">
        <v>68</v>
      </c>
      <c r="N1229" s="462">
        <v>46272</v>
      </c>
      <c r="O1229" s="432" t="s">
        <v>4526</v>
      </c>
      <c r="P1229" s="431" t="s">
        <v>1151</v>
      </c>
      <c r="Q1229" s="432" t="s">
        <v>421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43">
        <v>505</v>
      </c>
      <c r="U1229" s="1208">
        <f>864*4</f>
        <v>3456</v>
      </c>
      <c r="V1229" s="449">
        <f>PV_DATA[[#This Row],[QUANTITY]]*PV_DATA[[#This Row],[WATT]]/1000000</f>
        <v>1.7452799999999999</v>
      </c>
      <c r="W1229" s="467">
        <f>PV_DATA[[#This Row],[QUANTITY]]/PV_DATA[[#This Row],[Qty/Pallet]]</f>
        <v>96</v>
      </c>
      <c r="X1229" s="1114">
        <f>PV_DATA[[#This Row],[QUANTITY]]/PV_DATA[[#This Row],[Qty/CT]]</f>
        <v>4</v>
      </c>
      <c r="Y1229" s="432" t="s">
        <v>6755</v>
      </c>
      <c r="Z1229" s="431" t="str">
        <f>IF(AN1229&lt;&gt;"","COMPLETED",IF(AK1229&lt;&gt;"","IN-TRANSIT",""))</f>
        <v/>
      </c>
      <c r="AA1229" s="432" t="s">
        <v>5848</v>
      </c>
      <c r="AB1229" s="442"/>
      <c r="AC1229" s="468" t="str">
        <f>IF(PV_DATA[[#This Row],[Pick-Up Date]]&lt;&gt;"",_xlfn.ISOWEEKNUM(PV_DATA[[#This Row],[Pick-Up Date]]),"")</f>
        <v/>
      </c>
      <c r="AD1229" s="432"/>
      <c r="AE1229" s="432"/>
      <c r="AF1229" s="448" t="s">
        <v>61</v>
      </c>
      <c r="AG1229" s="448" t="s">
        <v>61</v>
      </c>
      <c r="AH1229" s="432" t="s">
        <v>105</v>
      </c>
      <c r="AI1229" s="442"/>
      <c r="AJ1229" s="438" t="str">
        <f>IFERROR(VLOOKUP(AT1229, Vessel!A:D, 4, FALSE), "")</f>
        <v/>
      </c>
      <c r="AK1229" s="438" t="str">
        <f>IFERROR(IF(VLOOKUP(AT1229,Vessel!A:F,5,FALSE)=0,"",VLOOKUP(AT1229,Vessel!A:F,5,FALSE)),"")</f>
        <v/>
      </c>
      <c r="AL1229" s="442"/>
      <c r="AM1229" s="442"/>
      <c r="AN1229" s="588" t="str">
        <f>IFERROR(IF(VLOOKUP(AT1229,Vessel!A:I,9,FALSE)=0,"",VLOOKUP(AT1229,Vessel!A:I,9,FALSE)),"")</f>
        <v/>
      </c>
      <c r="AO1229" s="432"/>
      <c r="AP1229" s="432"/>
      <c r="AQ1229" s="1126" t="s">
        <v>80</v>
      </c>
      <c r="AR1229" s="432"/>
      <c r="AS1229" s="432"/>
      <c r="AT1229" s="432"/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2"/>
      <c r="AW1229" s="442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2">
        <f>IF(ISERROR(PV_DATA[[#This Row],[New Ark PO status]]),"",_xlfn.XLOOKUP(PV_DATA[[#This Row],[SPTN-PVHK New Ark PO'#]],New_Ark_Data[Purchase order Number],New_Ark_Data[Estimated time of arrival],"",0))</f>
        <v>0</v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442">
        <f>IFERROR(PV_DATA[[#This Row],[ODP ETA Port]]+PV_DATA[[#This Row],[Customs/Leg3 Assumption]],"n/a")</f>
        <v>46388</v>
      </c>
      <c r="BB1229" s="443" t="s">
        <v>6531</v>
      </c>
      <c r="BC1229" s="443" t="s">
        <v>6531</v>
      </c>
      <c r="BD1229" s="432">
        <f>IFERROR(_xlfn.ISOWEEKNUM(PV_DATA[[#This Row],[ETA for New Ark update]]),0)</f>
        <v>53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Black glazing</v>
      </c>
      <c r="BH1229" s="624" t="str">
        <f>_xlfn.XLOOKUP(PV_DATA[[#This Row],[PORT DESTINATION]],Table12[PORT DESTINATION],Table12[Cosco Line],,0)</f>
        <v>AEU</v>
      </c>
      <c r="BJ1229" s="431"/>
    </row>
    <row r="1230" spans="1:62" ht="13.5" hidden="1" customHeight="1">
      <c r="A1230" s="440" t="s">
        <v>7045</v>
      </c>
      <c r="B1230" s="440" t="s">
        <v>5769</v>
      </c>
      <c r="C1230" s="440" t="str">
        <f>IFERROR(LEFT(PV_DATA[[#This Row],[TCL REFERENCE]],FIND(".",PV_DATA[[#This Row],[TCL REFERENCE]],1)-1),"Main Line")</f>
        <v>26Aug022</v>
      </c>
      <c r="D1230" s="440" t="s">
        <v>63</v>
      </c>
      <c r="E1230" s="440" t="s">
        <v>144</v>
      </c>
      <c r="F1230" s="440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0" s="440" t="s">
        <v>146</v>
      </c>
      <c r="H1230" s="440" t="s">
        <v>4959</v>
      </c>
      <c r="I1230" s="440" t="s">
        <v>689</v>
      </c>
      <c r="J1230" s="440" t="s">
        <v>4959</v>
      </c>
      <c r="K1230" s="431" t="s">
        <v>6296</v>
      </c>
      <c r="L1230" s="432">
        <v>4</v>
      </c>
      <c r="M1230" s="431" t="s">
        <v>7046</v>
      </c>
      <c r="N1230" s="462">
        <v>46279</v>
      </c>
      <c r="O1230" s="432" t="s">
        <v>4526</v>
      </c>
      <c r="P1230" s="431" t="s">
        <v>1151</v>
      </c>
      <c r="Q1230" s="432" t="s">
        <v>421</v>
      </c>
      <c r="R1230" s="432" t="str">
        <f>_xlfn.XLOOKUP(PV_DATA[[#This Row],[New Ark SKU]],Table9[New Ark SKU],Table9[Connector],,0)</f>
        <v>EVO2A</v>
      </c>
      <c r="S1230" s="443" t="str">
        <f>_xlfn.XLOOKUP(PV_DATA[[#This Row],[New Ark SKU]],Table9[New Ark SKU],Table9[Cable],,0)</f>
        <v>±1200mm</v>
      </c>
      <c r="T1230" s="443">
        <v>505</v>
      </c>
      <c r="U1230" s="1208">
        <f>864*2</f>
        <v>1728</v>
      </c>
      <c r="V1230" s="449">
        <f>PV_DATA[[#This Row],[QUANTITY]]*PV_DATA[[#This Row],[WATT]]/1000000</f>
        <v>0.87263999999999997</v>
      </c>
      <c r="W1230" s="467">
        <f>PV_DATA[[#This Row],[QUANTITY]]/PV_DATA[[#This Row],[Qty/Pallet]]</f>
        <v>48</v>
      </c>
      <c r="X1230" s="1114">
        <f>PV_DATA[[#This Row],[QUANTITY]]/PV_DATA[[#This Row],[Qty/CT]]</f>
        <v>2</v>
      </c>
      <c r="Y1230" s="432" t="s">
        <v>2471</v>
      </c>
      <c r="Z1230" s="431" t="str">
        <f t="shared" si="34"/>
        <v/>
      </c>
      <c r="AA1230" s="432" t="s">
        <v>7047</v>
      </c>
      <c r="AB1230" s="442"/>
      <c r="AC1230" s="468" t="str">
        <f>IF(PV_DATA[[#This Row],[Pick-Up Date]]&lt;&gt;"",_xlfn.ISOWEEKNUM(PV_DATA[[#This Row],[Pick-Up Date]]),"")</f>
        <v/>
      </c>
      <c r="AD1230" s="432"/>
      <c r="AE1230" s="432"/>
      <c r="AF1230" s="432" t="s">
        <v>122</v>
      </c>
      <c r="AG1230" s="432" t="s">
        <v>122</v>
      </c>
      <c r="AH1230" s="432" t="s">
        <v>78</v>
      </c>
      <c r="AI1230" s="442"/>
      <c r="AJ1230" s="442"/>
      <c r="AK1230" s="438" t="str">
        <f>IFERROR(IF(VLOOKUP(AT1230,Vessel!A:F,5,FALSE)=0,"",VLOOKUP(AT1230,Vessel!A:F,5,FALSE)),"")</f>
        <v/>
      </c>
      <c r="AL1230" s="442"/>
      <c r="AM1230" s="442"/>
      <c r="AN1230" s="588" t="str">
        <f>IFERROR(IF(VLOOKUP(AT1230,Vessel!A:I,9,FALSE)=0,"",VLOOKUP(AT1230,Vessel!A:I,9,FALSE)),"")</f>
        <v/>
      </c>
      <c r="AO1230" s="432"/>
      <c r="AP1230" s="432"/>
      <c r="AQ1230" s="446"/>
      <c r="AR1230" s="432"/>
      <c r="AS1230" s="432"/>
      <c r="AT1230" s="432"/>
      <c r="AU1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2"/>
      <c r="AW1230" s="442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2">
        <f>IF(ISERROR(PV_DATA[[#This Row],[New Ark PO status]]),"",_xlfn.XLOOKUP(PV_DATA[[#This Row],[SPTN-PVHK New Ark PO'#]],New_Ark_Data[Purchase order Number],New_Ark_Data[Estimated time of arrival],"",0))</f>
        <v>0</v>
      </c>
      <c r="AZ12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0" s="442">
        <f>IFERROR(PV_DATA[[#This Row],[ODP ETA Port]]+PV_DATA[[#This Row],[Customs/Leg3 Assumption]],"n/a")</f>
        <v>46357</v>
      </c>
      <c r="BB1230" s="443">
        <f>YEAR(PV_DATA[[#This Row],[ETA for New Ark update]])</f>
        <v>2026</v>
      </c>
      <c r="BC1230" s="432">
        <f>MONTH(PV_DATA[[#This Row],[ETA for New Ark update]])</f>
        <v>12</v>
      </c>
      <c r="BD1230" s="432">
        <f>IFERROR(_xlfn.ISOWEEKNUM(PV_DATA[[#This Row],[ETA for New Ark update]]),0)</f>
        <v>49</v>
      </c>
      <c r="BE1230" s="432">
        <f>_xlfn.XLOOKUP(PV_DATA[[#This Row],[New Ark SKU]],Table9[New Ark SKU],Table9[Total PCS per Pallet],,0)</f>
        <v>36</v>
      </c>
      <c r="BF1230" s="432">
        <f>_xlfn.XLOOKUP(PV_DATA[[#This Row],[New Ark SKU]],Table9[New Ark SKU],Table9[Total PCS per 40HQ Container],,0)</f>
        <v>864</v>
      </c>
      <c r="BG1230" s="432" t="str">
        <f>_xlfn.XLOOKUP(PV_DATA[[#This Row],[New Ark SKU]],Table9[New Ark SKU],Table9[Back Glass],,0)</f>
        <v>Black glazing</v>
      </c>
      <c r="BH1230" s="432" t="str">
        <f>_xlfn.XLOOKUP(PV_DATA[[#This Row],[PORT DESTINATION]],Table12[PORT DESTINATION],Table12[Cosco Line],,0)</f>
        <v>AEM</v>
      </c>
      <c r="BJ1230" s="431"/>
    </row>
    <row r="1231" spans="1:62" s="451" customFormat="1" ht="13.5" hidden="1" customHeight="1">
      <c r="A1231" s="726" t="s">
        <v>7048</v>
      </c>
      <c r="B1231" s="447" t="s">
        <v>61</v>
      </c>
      <c r="C1231" s="447" t="str">
        <f>IFERROR(LEFT(PV_DATA[[#This Row],[TCL REFERENCE]],FIND(".",PV_DATA[[#This Row],[TCL REFERENCE]],1)-1),"Main Line")</f>
        <v>Main Line</v>
      </c>
      <c r="D1231" s="447" t="s">
        <v>63</v>
      </c>
      <c r="E1231" s="447" t="s">
        <v>68</v>
      </c>
      <c r="F1231" s="447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47" t="s">
        <v>68</v>
      </c>
      <c r="H1231" s="447" t="s">
        <v>68</v>
      </c>
      <c r="I1231" s="447" t="s">
        <v>68</v>
      </c>
      <c r="J1231" s="451" t="s">
        <v>68</v>
      </c>
      <c r="M1231" s="451" t="s">
        <v>68</v>
      </c>
      <c r="N1231" s="452">
        <v>46279</v>
      </c>
      <c r="O1231" s="451" t="s">
        <v>4526</v>
      </c>
      <c r="P1231" s="451" t="s">
        <v>7049</v>
      </c>
      <c r="Q1231" s="451" t="s">
        <v>7050</v>
      </c>
      <c r="R1231" s="451" t="str">
        <f>_xlfn.XLOOKUP(PV_DATA[[#This Row],[New Ark SKU]],Table9[New Ark SKU],Table9[Connector],,0)</f>
        <v>EVO2A</v>
      </c>
      <c r="S1231" s="453" t="str">
        <f>_xlfn.XLOOKUP(PV_DATA[[#This Row],[New Ark SKU]],Table9[New Ark SKU],Table9[Cable],,0)</f>
        <v>±1200mm</v>
      </c>
      <c r="T1231" s="453">
        <v>505</v>
      </c>
      <c r="U1231" s="1208" cm="1">
        <f t="array" ref="U1231">864*30-fx_qty</f>
        <v>10368</v>
      </c>
      <c r="V1231" s="454">
        <f>PV_DATA[[#This Row],[QUANTITY]]*PV_DATA[[#This Row],[WATT]]/1000000</f>
        <v>5.2358399999999996</v>
      </c>
      <c r="W1231" s="455">
        <f>PV_DATA[[#This Row],[QUANTITY]]/PV_DATA[[#This Row],[Qty/Pallet]]</f>
        <v>288</v>
      </c>
      <c r="X1231" s="1115">
        <f>PV_DATA[[#This Row],[QUANTITY]]/PV_DATA[[#This Row],[Qty/CT]]</f>
        <v>12</v>
      </c>
      <c r="Y1231" s="451" t="s">
        <v>6650</v>
      </c>
      <c r="Z1231" s="451" t="str">
        <f t="shared" si="34"/>
        <v/>
      </c>
      <c r="AB1231" s="456"/>
      <c r="AC1231" s="472" t="str">
        <f>IF(PV_DATA[[#This Row],[Pick-Up Date]]&lt;&gt;"",_xlfn.ISOWEEKNUM(PV_DATA[[#This Row],[Pick-Up Date]]),"")</f>
        <v/>
      </c>
      <c r="AF1231" s="448" t="s">
        <v>61</v>
      </c>
      <c r="AG1231" s="448" t="s">
        <v>61</v>
      </c>
      <c r="AH1231" s="451" t="s">
        <v>68</v>
      </c>
      <c r="AI1231" s="456"/>
      <c r="AJ1231" s="456" t="str">
        <f>IFERROR(VLOOKUP(AT1231, Vessel!A:D, 4, FALSE), "")</f>
        <v/>
      </c>
      <c r="AK1231" s="456" t="str">
        <f>IFERROR(IF(VLOOKUP(AT1231,Vessel!A:F,5,FALSE)=0,"",VLOOKUP(AT1231,Vessel!A:F,5,FALSE)),"")</f>
        <v/>
      </c>
      <c r="AL1231" s="456"/>
      <c r="AM1231" s="456"/>
      <c r="AN1231" s="589" t="str">
        <f>IFERROR(IF(VLOOKUP(AT1231,Vessel!A:I,9,FALSE)=0,"",VLOOKUP(AT1231,Vessel!A:I,9,FALSE)),"")</f>
        <v/>
      </c>
      <c r="AQ1231" s="457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1" s="456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56">
        <f>IF(ISERROR(PV_DATA[[#This Row],[New Ark PO status]]),"",_xlfn.XLOOKUP(PV_DATA[[#This Row],[SPTN-PVHK New Ark PO'#]],New_Ark_Data[Purchase order Number],New_Ark_Data[Estimated time of arrival],"",0))</f>
        <v>0</v>
      </c>
      <c r="AZ1231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56" t="str">
        <f>IFERROR(PV_DATA[[#This Row],[ODP ETA Port]]+PV_DATA[[#This Row],[Customs/Leg3 Assumption]],"n/a")</f>
        <v>n/a</v>
      </c>
      <c r="BB1231" s="443" t="s">
        <v>6273</v>
      </c>
      <c r="BC1231" s="443" t="s">
        <v>6273</v>
      </c>
      <c r="BD1231" s="451">
        <f>IFERROR(_xlfn.ISOWEEKNUM(PV_DATA[[#This Row],[ETA for New Ark update]]),0)</f>
        <v>0</v>
      </c>
      <c r="BE1231" s="451">
        <v>36</v>
      </c>
      <c r="BF1231" s="451">
        <v>864</v>
      </c>
      <c r="BG1231" s="451" t="str">
        <f>_xlfn.XLOOKUP(PV_DATA[[#This Row],[New Ark SKU]],Table9[New Ark SKU],Table9[Back Glass],,0)</f>
        <v>Black glazing</v>
      </c>
      <c r="BH1231" s="733" t="str">
        <f>_xlfn.XLOOKUP(PV_DATA[[#This Row],[PORT DESTINATION]],Table12[PORT DESTINATION],Table12[Cosco Line],,0)</f>
        <v>n/a</v>
      </c>
    </row>
    <row r="1232" spans="1:62" s="451" customFormat="1" ht="13.5" hidden="1" customHeight="1">
      <c r="A1232" s="730" t="s">
        <v>7051</v>
      </c>
      <c r="B1232" s="440" t="s">
        <v>61</v>
      </c>
      <c r="C1232" s="440" t="str">
        <f>IFERROR(LEFT(PV_DATA[[#This Row],[TCL REFERENCE]],FIND(".",PV_DATA[[#This Row],[TCL REFERENCE]],1)-1),"Main Line")</f>
        <v>26Aug024</v>
      </c>
      <c r="D1232" s="440" t="s">
        <v>63</v>
      </c>
      <c r="E1232" s="447" t="s">
        <v>64</v>
      </c>
      <c r="F1232" s="447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2" s="447" t="s">
        <v>402</v>
      </c>
      <c r="H1232" s="447" t="s">
        <v>451</v>
      </c>
      <c r="I1232" s="447" t="s">
        <v>882</v>
      </c>
      <c r="J1232" s="451" t="s">
        <v>7052</v>
      </c>
      <c r="K1232" s="432"/>
      <c r="L1232" s="432"/>
      <c r="M1232" s="432" t="s">
        <v>68</v>
      </c>
      <c r="N1232" s="462">
        <v>46279</v>
      </c>
      <c r="O1232" s="432" t="s">
        <v>4526</v>
      </c>
      <c r="P1232" s="451" t="s">
        <v>7049</v>
      </c>
      <c r="Q1232" s="432" t="s">
        <v>7050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505</v>
      </c>
      <c r="U1232" s="1212">
        <f>864*3</f>
        <v>2592</v>
      </c>
      <c r="V1232" s="449">
        <f>PV_DATA[[#This Row],[QUANTITY]]*PV_DATA[[#This Row],[WATT]]/1000000</f>
        <v>1.3089599999999999</v>
      </c>
      <c r="W1232" s="467">
        <f>PV_DATA[[#This Row],[QUANTITY]]/PV_DATA[[#This Row],[Qty/Pallet]]</f>
        <v>72</v>
      </c>
      <c r="X1232" s="1114">
        <f>PV_DATA[[#This Row],[QUANTITY]]/PV_DATA[[#This Row],[Qty/CT]]</f>
        <v>3</v>
      </c>
      <c r="Y1232" s="432" t="s">
        <v>2469</v>
      </c>
      <c r="Z1232" s="432" t="str">
        <f t="shared" si="34"/>
        <v/>
      </c>
      <c r="AA1232" s="432" t="s">
        <v>7053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32" t="s">
        <v>61</v>
      </c>
      <c r="AG1232" s="432" t="s">
        <v>61</v>
      </c>
      <c r="AH1232" s="432" t="s">
        <v>456</v>
      </c>
      <c r="AI1232" s="442"/>
      <c r="AJ1232" s="442" t="str">
        <f>IFERROR(VLOOKUP(AT1232, Vessel!A:D, 4, FALSE), "")</f>
        <v/>
      </c>
      <c r="AK1232" s="442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 t="s">
        <v>80</v>
      </c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>
        <f>IF(ISERROR(PV_DATA[[#This Row],[New Ark PO status]]),"",_xlfn.XLOOKUP(PV_DATA[[#This Row],[SPTN-PVHK New Ark PO'#]],New_Ark_Data[Purchase order Number],New_Ark_Data[Estimated time of arrival],"",0))</f>
        <v>0</v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2" s="442">
        <f>IFERROR(PV_DATA[[#This Row],[ODP ETA Port]]+PV_DATA[[#This Row],[Customs/Leg3 Assumption]],"n/a")</f>
        <v>46360</v>
      </c>
      <c r="BB1232" s="443" t="s">
        <v>6531</v>
      </c>
      <c r="BC1232" s="432" t="s">
        <v>6531</v>
      </c>
      <c r="BD1232" s="432">
        <f>IFERROR(_xlfn.ISOWEEKNUM(PV_DATA[[#This Row],[ETA for New Ark update]]),0)</f>
        <v>49</v>
      </c>
      <c r="BE1232" s="432">
        <v>36</v>
      </c>
      <c r="BF1232" s="432">
        <v>864</v>
      </c>
      <c r="BG1232" s="432" t="str">
        <f>_xlfn.XLOOKUP(PV_DATA[[#This Row],[New Ark SKU]],Table9[New Ark SKU],Table9[Back Glass],,0)</f>
        <v>Black glazing</v>
      </c>
      <c r="BH1232" s="624" t="str">
        <f>_xlfn.XLOOKUP(PV_DATA[[#This Row],[PORT DESTINATION]],Table12[PORT DESTINATION],Table12[Cosco Line],,0)</f>
        <v>AEU</v>
      </c>
    </row>
    <row r="1233" spans="1:60" s="451" customFormat="1" ht="13.5" hidden="1" customHeight="1">
      <c r="A1233" s="730" t="s">
        <v>7054</v>
      </c>
      <c r="B1233" s="440" t="s">
        <v>61</v>
      </c>
      <c r="C1233" s="440" t="str">
        <f>IFERROR(LEFT(PV_DATA[[#This Row],[TCL REFERENCE]],FIND(".",PV_DATA[[#This Row],[TCL REFERENCE]],1)-1),"Main Line")</f>
        <v>26Aug024</v>
      </c>
      <c r="D1233" s="440" t="s">
        <v>63</v>
      </c>
      <c r="E1233" s="447" t="s">
        <v>64</v>
      </c>
      <c r="F1233" s="447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3" s="447" t="s">
        <v>402</v>
      </c>
      <c r="H1233" s="447" t="s">
        <v>451</v>
      </c>
      <c r="I1233" s="447" t="s">
        <v>882</v>
      </c>
      <c r="J1233" s="451" t="s">
        <v>7052</v>
      </c>
      <c r="K1233" s="432"/>
      <c r="L1233" s="432"/>
      <c r="M1233" s="432" t="s">
        <v>68</v>
      </c>
      <c r="N1233" s="462">
        <v>46279</v>
      </c>
      <c r="O1233" s="432" t="s">
        <v>4526</v>
      </c>
      <c r="P1233" s="451" t="s">
        <v>7049</v>
      </c>
      <c r="Q1233" s="432" t="s">
        <v>7050</v>
      </c>
      <c r="R1233" s="432" t="str">
        <f>_xlfn.XLOOKUP(PV_DATA[[#This Row],[New Ark SKU]],Table9[New Ark SKU],Table9[Connector],,0)</f>
        <v>EVO2A</v>
      </c>
      <c r="S1233" s="443" t="str">
        <f>_xlfn.XLOOKUP(PV_DATA[[#This Row],[New Ark SKU]],Table9[New Ark SKU],Table9[Cable],,0)</f>
        <v>±1200mm</v>
      </c>
      <c r="T1233" s="443">
        <v>505</v>
      </c>
      <c r="U1233" s="1212">
        <f>864*3</f>
        <v>2592</v>
      </c>
      <c r="V1233" s="449">
        <f>PV_DATA[[#This Row],[QUANTITY]]*PV_DATA[[#This Row],[WATT]]/1000000</f>
        <v>1.3089599999999999</v>
      </c>
      <c r="W1233" s="467">
        <f>PV_DATA[[#This Row],[QUANTITY]]/PV_DATA[[#This Row],[Qty/Pallet]]</f>
        <v>72</v>
      </c>
      <c r="X1233" s="1114">
        <f>PV_DATA[[#This Row],[QUANTITY]]/PV_DATA[[#This Row],[Qty/CT]]</f>
        <v>3</v>
      </c>
      <c r="Y1233" s="432" t="s">
        <v>2469</v>
      </c>
      <c r="Z1233" s="432" t="str">
        <f>IF(AN1233&lt;&gt;"","COMPLETED",IF(AK1233&lt;&gt;"","IN-TRANSIT",""))</f>
        <v/>
      </c>
      <c r="AA1233" s="432" t="s">
        <v>7053</v>
      </c>
      <c r="AB1233" s="442"/>
      <c r="AC1233" s="468" t="str">
        <f>IF(PV_DATA[[#This Row],[Pick-Up Date]]&lt;&gt;"",_xlfn.ISOWEEKNUM(PV_DATA[[#This Row],[Pick-Up Date]]),"")</f>
        <v/>
      </c>
      <c r="AD1233" s="432"/>
      <c r="AE1233" s="432"/>
      <c r="AF1233" s="432" t="s">
        <v>61</v>
      </c>
      <c r="AG1233" s="432" t="s">
        <v>61</v>
      </c>
      <c r="AH1233" s="432" t="s">
        <v>456</v>
      </c>
      <c r="AI1233" s="442"/>
      <c r="AJ1233" s="442" t="str">
        <f>IFERROR(VLOOKUP(AT1233, Vessel!A:D, 4, FALSE), "")</f>
        <v/>
      </c>
      <c r="AK1233" s="442" t="str">
        <f>IFERROR(IF(VLOOKUP(AT1233,Vessel!A:F,5,FALSE)=0,"",VLOOKUP(AT1233,Vessel!A:F,5,FALSE)),"")</f>
        <v/>
      </c>
      <c r="AL1233" s="442"/>
      <c r="AM1233" s="442"/>
      <c r="AN1233" s="588" t="str">
        <f>IFERROR(IF(VLOOKUP(AT1233,Vessel!A:I,9,FALSE)=0,"",VLOOKUP(AT1233,Vessel!A:I,9,FALSE)),"")</f>
        <v/>
      </c>
      <c r="AO1233" s="432"/>
      <c r="AP1233" s="432"/>
      <c r="AQ1233" s="446"/>
      <c r="AR1233" s="432"/>
      <c r="AS1233" s="432"/>
      <c r="AT1233" s="432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2"/>
      <c r="AW1233" s="442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2">
        <f>IF(ISERROR(PV_DATA[[#This Row],[New Ark PO status]]),"",_xlfn.XLOOKUP(PV_DATA[[#This Row],[SPTN-PVHK New Ark PO'#]],New_Ark_Data[Purchase order Number],New_Ark_Data[Estimated time of arrival],"",0))</f>
        <v>0</v>
      </c>
      <c r="AZ1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3" s="442">
        <f>IFERROR(PV_DATA[[#This Row],[ODP ETA Port]]+PV_DATA[[#This Row],[Customs/Leg3 Assumption]],"n/a")</f>
        <v>46360</v>
      </c>
      <c r="BB1233" s="443" t="s">
        <v>6531</v>
      </c>
      <c r="BC1233" s="432" t="s">
        <v>6531</v>
      </c>
      <c r="BD1233" s="432">
        <f>IFERROR(_xlfn.ISOWEEKNUM(PV_DATA[[#This Row],[ETA for New Ark update]]),0)</f>
        <v>49</v>
      </c>
      <c r="BE1233" s="432">
        <v>36</v>
      </c>
      <c r="BF1233" s="432">
        <v>864</v>
      </c>
      <c r="BG1233" s="432" t="str">
        <f>_xlfn.XLOOKUP(PV_DATA[[#This Row],[New Ark SKU]],Table9[New Ark SKU],Table9[Back Glass],,0)</f>
        <v>Black glazing</v>
      </c>
      <c r="BH1233" s="624" t="str">
        <f>_xlfn.XLOOKUP(PV_DATA[[#This Row],[PORT DESTINATION]],Table12[PORT DESTINATION],Table12[Cosco Line],,0)</f>
        <v>AEU</v>
      </c>
    </row>
    <row r="1234" spans="1:60" s="451" customFormat="1" ht="13.5" hidden="1" customHeight="1">
      <c r="A1234" s="730" t="s">
        <v>7055</v>
      </c>
      <c r="B1234" s="440" t="s">
        <v>61</v>
      </c>
      <c r="C1234" s="440" t="str">
        <f>IFERROR(LEFT(PV_DATA[[#This Row],[TCL REFERENCE]],FIND(".",PV_DATA[[#This Row],[TCL REFERENCE]],1)-1),"Main Line")</f>
        <v>26Aug024</v>
      </c>
      <c r="D1234" s="440" t="s">
        <v>63</v>
      </c>
      <c r="E1234" s="447" t="s">
        <v>64</v>
      </c>
      <c r="F1234" s="447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4" s="447" t="s">
        <v>402</v>
      </c>
      <c r="H1234" s="447" t="s">
        <v>451</v>
      </c>
      <c r="I1234" s="447" t="s">
        <v>882</v>
      </c>
      <c r="J1234" s="451" t="s">
        <v>7052</v>
      </c>
      <c r="K1234" s="432"/>
      <c r="L1234" s="432"/>
      <c r="M1234" s="432" t="s">
        <v>68</v>
      </c>
      <c r="N1234" s="462">
        <v>46279</v>
      </c>
      <c r="O1234" s="432" t="s">
        <v>4526</v>
      </c>
      <c r="P1234" s="451" t="s">
        <v>7049</v>
      </c>
      <c r="Q1234" s="432" t="s">
        <v>7050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212">
        <f>864*4</f>
        <v>3456</v>
      </c>
      <c r="V1234" s="449">
        <f>PV_DATA[[#This Row],[QUANTITY]]*PV_DATA[[#This Row],[WATT]]/1000000</f>
        <v>1.7452799999999999</v>
      </c>
      <c r="W1234" s="467">
        <f>PV_DATA[[#This Row],[QUANTITY]]/PV_DATA[[#This Row],[Qty/Pallet]]</f>
        <v>96</v>
      </c>
      <c r="X1234" s="1114">
        <f>PV_DATA[[#This Row],[QUANTITY]]/PV_DATA[[#This Row],[Qty/CT]]</f>
        <v>4</v>
      </c>
      <c r="Y1234" s="432" t="s">
        <v>6755</v>
      </c>
      <c r="Z1234" s="432" t="str">
        <f t="shared" si="34"/>
        <v/>
      </c>
      <c r="AA1234" s="432" t="s">
        <v>7056</v>
      </c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32" t="s">
        <v>61</v>
      </c>
      <c r="AG1234" s="432" t="s">
        <v>61</v>
      </c>
      <c r="AH1234" s="432" t="s">
        <v>456</v>
      </c>
      <c r="AI1234" s="442"/>
      <c r="AJ1234" s="442" t="str">
        <f>IFERROR(VLOOKUP(AT1234, Vessel!A:D, 4, FALSE), "")</f>
        <v/>
      </c>
      <c r="AK1234" s="442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446"/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442">
        <f>IFERROR(PV_DATA[[#This Row],[ODP ETA Port]]+PV_DATA[[#This Row],[Customs/Leg3 Assumption]],"n/a")</f>
        <v>46381</v>
      </c>
      <c r="BB1234" s="443" t="s">
        <v>6531</v>
      </c>
      <c r="BC1234" s="432" t="s">
        <v>6531</v>
      </c>
      <c r="BD1234" s="432">
        <f>IFERROR(_xlfn.ISOWEEKNUM(PV_DATA[[#This Row],[ETA for New Ark update]]),0)</f>
        <v>52</v>
      </c>
      <c r="BE1234" s="432">
        <v>36</v>
      </c>
      <c r="BF1234" s="432"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AEU</v>
      </c>
    </row>
    <row r="1235" spans="1:60" s="451" customFormat="1" ht="13.5" hidden="1" customHeight="1">
      <c r="A1235" s="729" t="s">
        <v>7057</v>
      </c>
      <c r="B1235" s="728" t="s">
        <v>61</v>
      </c>
      <c r="C1235" s="728" t="str">
        <f>IFERROR(LEFT(PV_DATA[[#This Row],[TCL REFERENCE]],FIND(".",PV_DATA[[#This Row],[TCL REFERENCE]],1)-1),"Main Line")</f>
        <v>26Aug024</v>
      </c>
      <c r="D1235" s="728" t="s">
        <v>63</v>
      </c>
      <c r="E1235" s="447" t="s">
        <v>64</v>
      </c>
      <c r="F1235" s="447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5" s="447" t="s">
        <v>402</v>
      </c>
      <c r="H1235" s="447" t="s">
        <v>451</v>
      </c>
      <c r="I1235" s="447" t="s">
        <v>882</v>
      </c>
      <c r="J1235" s="451" t="s">
        <v>7052</v>
      </c>
      <c r="K1235" s="621"/>
      <c r="L1235" s="621"/>
      <c r="M1235" s="621" t="s">
        <v>68</v>
      </c>
      <c r="N1235" s="632">
        <v>46279</v>
      </c>
      <c r="O1235" s="621" t="s">
        <v>4526</v>
      </c>
      <c r="P1235" s="1094" t="s">
        <v>7049</v>
      </c>
      <c r="Q1235" s="621" t="s">
        <v>7050</v>
      </c>
      <c r="R1235" s="621" t="str">
        <f>_xlfn.XLOOKUP(PV_DATA[[#This Row],[New Ark SKU]],Table9[New Ark SKU],Table9[Connector],,0)</f>
        <v>EVO2A</v>
      </c>
      <c r="S1235" s="622" t="str">
        <f>_xlfn.XLOOKUP(PV_DATA[[#This Row],[New Ark SKU]],Table9[New Ark SKU],Table9[Cable],,0)</f>
        <v>±1200mm</v>
      </c>
      <c r="T1235" s="622">
        <v>505</v>
      </c>
      <c r="U1235" s="1212">
        <f>864*4</f>
        <v>3456</v>
      </c>
      <c r="V1235" s="626">
        <f>PV_DATA[[#This Row],[QUANTITY]]*PV_DATA[[#This Row],[WATT]]/1000000</f>
        <v>1.7452799999999999</v>
      </c>
      <c r="W1235" s="627">
        <f>PV_DATA[[#This Row],[QUANTITY]]/PV_DATA[[#This Row],[Qty/Pallet]]</f>
        <v>96</v>
      </c>
      <c r="X1235" s="1118">
        <f>PV_DATA[[#This Row],[QUANTITY]]/PV_DATA[[#This Row],[Qty/CT]]</f>
        <v>4</v>
      </c>
      <c r="Y1235" s="432" t="s">
        <v>7034</v>
      </c>
      <c r="Z1235" s="621" t="str">
        <f t="shared" si="34"/>
        <v/>
      </c>
      <c r="AA1235" s="621" t="s">
        <v>7058</v>
      </c>
      <c r="AB1235" s="628"/>
      <c r="AC1235" s="629" t="str">
        <f>IF(PV_DATA[[#This Row],[Pick-Up Date]]&lt;&gt;"",_xlfn.ISOWEEKNUM(PV_DATA[[#This Row],[Pick-Up Date]]),"")</f>
        <v/>
      </c>
      <c r="AD1235" s="621"/>
      <c r="AE1235" s="621"/>
      <c r="AF1235" s="621" t="s">
        <v>61</v>
      </c>
      <c r="AG1235" s="621" t="s">
        <v>61</v>
      </c>
      <c r="AH1235" s="432" t="s">
        <v>456</v>
      </c>
      <c r="AI1235" s="628"/>
      <c r="AJ1235" s="628" t="str">
        <f>IFERROR(VLOOKUP(AT1235, Vessel!A:D, 4, FALSE), "")</f>
        <v/>
      </c>
      <c r="AK1235" s="628" t="str">
        <f>IFERROR(IF(VLOOKUP(AT1235,Vessel!A:F,5,FALSE)=0,"",VLOOKUP(AT1235,Vessel!A:F,5,FALSE)),"")</f>
        <v/>
      </c>
      <c r="AL1235" s="628"/>
      <c r="AM1235" s="628"/>
      <c r="AN1235" s="1029" t="str">
        <f>IFERROR(IF(VLOOKUP(AT1235,Vessel!A:I,9,FALSE)=0,"",VLOOKUP(AT1235,Vessel!A:I,9,FALSE)),"")</f>
        <v/>
      </c>
      <c r="AO1235" s="621"/>
      <c r="AP1235" s="621"/>
      <c r="AQ1235" s="630"/>
      <c r="AR1235" s="621"/>
      <c r="AS1235" s="621"/>
      <c r="AT1235" s="621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621"/>
      <c r="AW1235" s="628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628">
        <f>IF(ISERROR(PV_DATA[[#This Row],[New Ark PO status]]),"",_xlfn.XLOOKUP(PV_DATA[[#This Row],[SPTN-PVHK New Ark PO'#]],New_Ark_Data[Purchase order Number],New_Ark_Data[Estimated time of arrival],"",0))</f>
        <v>0</v>
      </c>
      <c r="AZ1235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628">
        <f>IFERROR(PV_DATA[[#This Row],[ODP ETA Port]]+PV_DATA[[#This Row],[Customs/Leg3 Assumption]],"n/a")</f>
        <v>46402</v>
      </c>
      <c r="BB1235" s="622" t="s">
        <v>6531</v>
      </c>
      <c r="BC1235" s="621" t="s">
        <v>6531</v>
      </c>
      <c r="BD1235" s="621">
        <f>IFERROR(_xlfn.ISOWEEKNUM(PV_DATA[[#This Row],[ETA for New Ark update]]),0)</f>
        <v>2</v>
      </c>
      <c r="BE1235" s="621">
        <v>36</v>
      </c>
      <c r="BF1235" s="621">
        <v>864</v>
      </c>
      <c r="BG1235" s="621" t="str">
        <f>_xlfn.XLOOKUP(PV_DATA[[#This Row],[New Ark SKU]],Table9[New Ark SKU],Table9[Back Glass],,0)</f>
        <v>Black glazing</v>
      </c>
      <c r="BH1235" s="631" t="str">
        <f>_xlfn.XLOOKUP(PV_DATA[[#This Row],[PORT DESTINATION]],Table12[PORT DESTINATION],Table12[Cosco Line],,0)</f>
        <v>AEU</v>
      </c>
    </row>
    <row r="1236" spans="1:60" s="451" customFormat="1" ht="13.5" hidden="1" customHeight="1">
      <c r="A1236" s="1144" t="s">
        <v>7059</v>
      </c>
      <c r="B1236" s="1199" t="s">
        <v>61</v>
      </c>
      <c r="C1236" s="1199" t="str">
        <f>IFERROR(LEFT(PV_DATA[[#This Row],[TCL REFERENCE]],FIND(".",PV_DATA[[#This Row],[TCL REFERENCE]],1)-1),"Main Line")</f>
        <v>26Aug024</v>
      </c>
      <c r="D1236" s="1199" t="s">
        <v>63</v>
      </c>
      <c r="E1236" s="1199" t="s">
        <v>64</v>
      </c>
      <c r="F1236" s="119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6" s="1199" t="s">
        <v>402</v>
      </c>
      <c r="H1236" s="1199" t="s">
        <v>451</v>
      </c>
      <c r="I1236" s="1199" t="s">
        <v>882</v>
      </c>
      <c r="J1236" s="1145" t="s">
        <v>7052</v>
      </c>
      <c r="K1236" s="1145"/>
      <c r="L1236" s="1145"/>
      <c r="M1236" s="1145" t="s">
        <v>68</v>
      </c>
      <c r="N1236" s="1146">
        <v>46279</v>
      </c>
      <c r="O1236" s="1145" t="s">
        <v>4526</v>
      </c>
      <c r="P1236" s="1147" t="s">
        <v>7049</v>
      </c>
      <c r="Q1236" s="1145" t="s">
        <v>7050</v>
      </c>
      <c r="R1236" s="621" t="str">
        <f>_xlfn.XLOOKUP(PV_DATA[[#This Row],[New Ark SKU]],Table9[New Ark SKU],Table9[Connector],,0)</f>
        <v>EVO2A</v>
      </c>
      <c r="S1236" s="622" t="str">
        <f>_xlfn.XLOOKUP(PV_DATA[[#This Row],[New Ark SKU]],Table9[New Ark SKU],Table9[Cable],,0)</f>
        <v>±1200mm</v>
      </c>
      <c r="T1236" s="1148">
        <v>505</v>
      </c>
      <c r="U1236" s="1226">
        <f>864*4</f>
        <v>3456</v>
      </c>
      <c r="V1236" s="1149">
        <f>PV_DATA[[#This Row],[QUANTITY]]*PV_DATA[[#This Row],[WATT]]/1000000</f>
        <v>1.7452799999999999</v>
      </c>
      <c r="W1236" s="1150">
        <f>PV_DATA[[#This Row],[QUANTITY]]/PV_DATA[[#This Row],[Qty/Pallet]]</f>
        <v>96</v>
      </c>
      <c r="X1236" s="1205">
        <f>PV_DATA[[#This Row],[QUANTITY]]/PV_DATA[[#This Row],[Qty/CT]]</f>
        <v>4</v>
      </c>
      <c r="Y1236" s="1145" t="s">
        <v>7036</v>
      </c>
      <c r="Z1236" s="1145" t="str">
        <f t="shared" ref="Z1236" si="35">IF(AN1236&lt;&gt;"","COMPLETED",IF(AK1236&lt;&gt;"","IN-TRANSIT",""))</f>
        <v/>
      </c>
      <c r="AA1236" s="1145" t="s">
        <v>7060</v>
      </c>
      <c r="AB1236" s="1151"/>
      <c r="AC1236" s="1152" t="str">
        <f>IF(PV_DATA[[#This Row],[Pick-Up Date]]&lt;&gt;"",_xlfn.ISOWEEKNUM(PV_DATA[[#This Row],[Pick-Up Date]]),"")</f>
        <v/>
      </c>
      <c r="AD1236" s="1145"/>
      <c r="AE1236" s="1145"/>
      <c r="AF1236" s="1145" t="s">
        <v>61</v>
      </c>
      <c r="AG1236" s="1145" t="s">
        <v>61</v>
      </c>
      <c r="AH1236" s="1145" t="s">
        <v>456</v>
      </c>
      <c r="AI1236" s="1151"/>
      <c r="AJ1236" s="1151" t="str">
        <f>IFERROR(VLOOKUP(AT1236, Vessel!A:D, 4, FALSE), "")</f>
        <v/>
      </c>
      <c r="AK1236" s="1151" t="str">
        <f>IFERROR(IF(VLOOKUP(AT1236,Vessel!A:F,5,FALSE)=0,"",VLOOKUP(AT1236,Vessel!A:F,5,FALSE)),"")</f>
        <v/>
      </c>
      <c r="AL1236" s="1151"/>
      <c r="AM1236" s="1151"/>
      <c r="AN1236" s="1153" t="str">
        <f>IFERROR(IF(VLOOKUP(AT1236,Vessel!A:I,9,FALSE)=0,"",VLOOKUP(AT1236,Vessel!A:I,9,FALSE)),"")</f>
        <v/>
      </c>
      <c r="AO1236" s="1145"/>
      <c r="AP1236" s="1145"/>
      <c r="AQ1236" s="1154"/>
      <c r="AR1236" s="1145"/>
      <c r="AS1236" s="1145"/>
      <c r="AT1236" s="1145"/>
      <c r="AU1236" s="114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1145"/>
      <c r="AW1236" s="1151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36" s="114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1151">
        <f>IF(ISERROR(PV_DATA[[#This Row],[New Ark PO status]]),"",_xlfn.XLOOKUP(PV_DATA[[#This Row],[SPTN-PVHK New Ark PO'#]],New_Ark_Data[Purchase order Number],New_Ark_Data[Estimated time of arrival],"",0))</f>
        <v>0</v>
      </c>
      <c r="AZ1236" s="114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1151">
        <f>IFERROR(PV_DATA[[#This Row],[ODP ETA Port]]+PV_DATA[[#This Row],[Customs/Leg3 Assumption]],"n/a")</f>
        <v>46416</v>
      </c>
      <c r="BB1236" s="1148" t="s">
        <v>6531</v>
      </c>
      <c r="BC1236" s="1145" t="s">
        <v>6531</v>
      </c>
      <c r="BD1236" s="1145">
        <f>IFERROR(_xlfn.ISOWEEKNUM(PV_DATA[[#This Row],[ETA for New Ark update]]),0)</f>
        <v>4</v>
      </c>
      <c r="BE1236" s="1145">
        <v>36</v>
      </c>
      <c r="BF1236" s="1145">
        <v>864</v>
      </c>
      <c r="BG1236" s="621" t="str">
        <f>_xlfn.XLOOKUP(PV_DATA[[#This Row],[New Ark SKU]],Table9[New Ark SKU],Table9[Back Glass],,0)</f>
        <v>Black glazing</v>
      </c>
      <c r="BH1236" s="1155" t="str">
        <f>_xlfn.XLOOKUP(PV_DATA[[#This Row],[PORT DESTINATION]],Table12[PORT DESTINATION],Table12[Cosco Line],,0)</f>
        <v>AEU</v>
      </c>
    </row>
    <row r="1237" spans="1:60">
      <c r="X1237" s="1110"/>
      <c r="AC1237" s="460"/>
    </row>
    <row r="1238" spans="1:60">
      <c r="X1238" s="1110"/>
      <c r="AC1238" s="460"/>
    </row>
    <row r="1239" spans="1:60">
      <c r="AC1239" s="460"/>
    </row>
    <row r="1240" spans="1:60">
      <c r="T1240" s="1010"/>
      <c r="AC1240" s="460"/>
    </row>
    <row r="1241" spans="1:60">
      <c r="AC1241" s="460"/>
    </row>
    <row r="1242" spans="1:60">
      <c r="AC1242" s="460"/>
    </row>
    <row r="1243" spans="1:60">
      <c r="AC1243" s="460"/>
      <c r="AJ1243" s="441"/>
    </row>
    <row r="1244" spans="1:60">
      <c r="AC1244" s="460"/>
    </row>
    <row r="1268" spans="3:3">
      <c r="C1268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89 M522 AL515 T1181 AA1159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90:I1093 G512:G521 G543:G548 I434:I435 I473 I513 G534:G541 G561:G562 H560:H571 M535:M541 M474:M488 M443:M452 I446:I462 I438:I442 I548:I551 I519:I520 I486:J486 J464:J466 I568:J569 H533:H548 H510:H521 G1084:I1088 I463:J463 G557:H557 G597:M597 G575:J576 G463:H466 G472:H484 J472:J484 G495:H498 G293:L300 J491:J504 J508:J521 J543:J548 G490:H493 K1090:M1093 T491:X491 I534:M534 K589:M589 K548:M548 AM1089 AP433:AT433 AP447:AT451 AT527 AO434:AT434 AT430:AT432 AO520:AT525 AS574:AT574 AO513:AT516 AN222:AT222 AS565:AT566 AZ410:BD427 BB447:BD467 K1084:M1088 A585:B585 D585:H585 J588:J590 G588:G590 H588:I591 A634:F634 AE1099:AF1099 D644:G644 D618:F618 A584:H584 A586:J587 M619:M620 J621 AI293:AL300 A572:B574 D577:E578 M575:M577 H592 J584 AQ594:AR594 H622 N443:N444 N446:N452 N474:N475 N479:N484 N486:N488 T499:X529 N523 N1090:N1091 N1106:N1108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85:AJ1088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15:E1115 AS674:AT685 B673:B682 T684:Y684 W670:Y683 D747:G747 D907:F907 AR672:AR673 AE685:AI685 T686:Y687 T660:Y661 AE643:AL643 U627:Y628 AA1099:AC1099 AE656:AI657 T646:Y646 T658:Y658 AE645:AL645 AE625:AJ625 T626:Y626 AC633:AJ633 T654:Y655 AF446:AH446 AD231:AL231 AK654:AL659 AE647:AL651 D754:G754 D711:F711 A711:B711 AF705:AH705 D707:G710 A1081:B1083 AS1083 AE1102:AH1104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13:BF1114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13:G1114 BF768 O1131:O1134 O768 AB768:AC768 X768 W859:Y859 W944:X944 E768:G768 BH778 BH767 M773:M776 B756:B765 BH773:BH776 O769:Q769 AF809:AH809 B773:B777 D809 D773:H776 W1111:Y1116 W769:Y769 B769 D769:F769 BH771 M763:M765 M767:M769 BH762:BH765 AX767:AX768 W756:Y765 D763:H765 J765 U766:Y766 E1161 G1160:J1161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00:AH1101 AA1085:AH1095 AA693:AC693 AA1096:AF1098 AA706 AA739 AA742:AC742 AA694:AL694 AA751:AC751 AA753 AA761:AC761 AA767:AC767 E810 AA778:AI778 AI666:AL666 AE701:AI701 AJ700:AJ701 AE702:AJ702 AA711:AL711 AE718:AL718 AE719:AJ719 AK719:AL720 AE726:AI728 AJ724:AJ728 D715:E715 W712:Y715 M1113:M1114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31:X1134 D815:H815 M815 T821:T822 D884:F884 W884:AA884 W813:Y813 X844 W1102:Y1105 B815 BF1115:BF1117 W829:X830 AO1132:AR113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38:AT1139 X861 AE859:AH861 G843 AE695:AL699 AK700:AL702 AK724:AK725 AK726:AL728 AF740:AL740 X806 D859:G860 D790:H791 M866 AX843:AX845 AF845:AH845 W805:Y805 B884 O831 AZ841 AX841 J842 X842 X810:Y810 A1096:B1099 D623:H624 AA652:AL652 AE669:AH683 E808 G808 X808:Y808 AC810 E846:J846 X846:Y846 D965:F965 D817:F817 B817 AZ813 AX813 B811 AF803:AH803 BI813:XFD813 W809:Y809 AZ809 AC808 W807:Y807 B807 B809 D807:G807 AT1111:AT1113 G841 D821:D822 B819:B822 BI818:XFD822 AZ821:AZ822 D1029:F1029 AA1081:AJ1084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79:J1079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59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3 AO754:AP754 AO768:AT768 AO767:AQ767 AO769:AQ777 AO802:AT802 AO798 AO795:AS795 AO803:AS803 AO813:AO814 AO843:AS843 AO844:AT844 AO834 AO827:AS827 AO825:AP825 AO845:AS845 AO824:AS824 AO884:AR884 AJ867:AJ868 AO866:AS866 AO865:AQ865 AO1099:AQ1099 AO1102:AR1102 AO1103:AS1108 AO1083:AQ1083 AO1116:AS1117 AO1084:AS1098 AO1111:AS1114 AZ1136:AZ1138 AO1123:AT1124 AK578:AM579 AM594 AA627:AL628 AE629:AM629 AA640:AL642 AA689:AL689 AO706:AT711 AE713:AL714 AO726:AT739 AE755:AL764 AM767:AM783 M823:M825 M1152 AE784:AM784 AJ785:AM789 AI790:AM790 AJ791:AM792 AC812:AJ812 AM621:AM628 AA637:AM639 X950:Z950 W934:X935 D912:G912 AF934:AH935 AZ912 BI912:XFD912 B908:B911 W910:Y912 J910:J911 D910:H911 Z910:Z911 AE893:AI894 T912 O912 X963:Z963 D956:G958 D934:D935 B934:B935 B966 A1029:B1029 M902:M906 D904:H906 B904 W904:Z904 X899:X901 I897:J901 Z899:Z902 X897:Z898 Z895:Z896 BI903:XFD903 AC892:AC901 AC903 X895:X896 M893:M895 E893:J894 E1139 F869:H869 O869 X869:Y869 A872:H872 A876:B878 A870:B871 K872:L872 D870:H871 O936 AE936:AI936 X868 J868 W913:Z913 V905:AA906 AC905:AC907 O913:Q913 D913:H913 O923 AC936 AM920:AN920 O1138:O1139 AA880 E936:G936 E937:J937 E952 G952 M956:M958 B969 AB960 I705 AF952:AH952 W956:Z958 D969 AE966:AI969 AZ969 T969 G954:G955 T959 E954:E955 AE881:AI882 F880:F881 X880:X883 AC880:AC883 AI1090:AJ1104 AG1096:AH1099 AS1099 Z954:Z955 X954:X955 BI954:XFD955 M953 AE956:AI959 X952 Z952 W953:Z953 D953:G953 B953 B956:B959 AZ951 D951 T951 W951:AA951 D950:G950 AF950:AI950 AI951:AI952 AO935:AS935 AO934:AT934 J925 AM630:AM633 AM640:AM659 AO679:AP683 AO1100:AS1101 AO880:AS880 AO1081:AS1082 AL1081:AM1088 AL528:AT529 AK532:AM532 AI533:AM533 AI557:AO560 AI562:AN571 AI586:AM593 AN532:AO533 AH927 W969:AA969 R816:R822 AB963:AB964 X862:Y862 D1037 R766 E979:G979 T926 AH925 B913 T924 AH926:AI926 AB958 AB950:AB952 E932 U1136:U1137 M990 AE989:AJ989 AO1136:AS1139 Y1139:Z1139 AJ916 W1123:X1124 O1123:O1124 AE1154:AF1154 AE1155:AN1155 G970:G971 AK990:AQ990 AE765:AM765 AE810:AJ811 AE815:AJ823 AE840:AJ841 AE842:AI843 AJ842:AJ846 AI582:AN585 AI610:AT616 AJ802:AJ809 AF777:AL777 A837:B840 T839:Y839 R954:S955 O950:Q950 O876:Q879 O1085:Q1099 T1081:Y1101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84:Q1084 O655:Q655 M646:Q646 N573:Q573 O623:Q624 A686:Q686 O687:Q689 N634:Q634 O684:Q685 BF683 O658:Q672 O466:Q471 K1100:Q1101 T711:Y711 O597:Q621 O591:Q595 N589:Q590 O578:Q588 O563:Q570 O574:Q576 O1081:Q1083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111:BH1114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29:XFD1029 AO876:AT879 BH904:XFD908 AT1081:AT1108 BH902:XFD902 BH856:XFD856 AO815:AT823 AO797:AT797 BH782:XFD783 AS865:AT865 AV887:AW887 BH814:XFD815 AO804:AT812 BH789:XFD792 AM924:AT924 BD1016:BG1016 AO839:AT842 R835:Y838 AO835:AT837 D920:E920 BG1113:BG1117 BG784:BG794 BG410:BG765 R712 Z881:Z882 Y1180 B1001 M1001 AE876:AJ880 AD823:AD825 AA844:AG844 AD859:AD862 AD867:AD872 T965:AI965 AD943 AX410:AX765 AO755:AT766 AX777 AV814:BG820 AV824:BG825 AO828:AT832 W920:Z920 AQ920:AT921 E928:E929 AB967:AB97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59 AH1154:AN1154 K939:K940 G939 AG939:AI939 AH940:AI940 AJ1161:AS1161 BK2:XFD181 AF1011:AH1011 AF1010:AG1010 H914 AJ1147:AK1148 AE1144:AG1145 AA804:AA805 AA840:AB840 AA851:AC853 AA823:AB823 AA792:AI792 AA620:AM620 AA839:AJ839 T876:AC879 AA790:AA791 AA793:AJ793 AA856 J914:J915 AH914:AH917 A922:H922 E914 K875:AG875 AJ915:AS915 AT915:AT918 AK916:AS917 AG918:AS918 AH1145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73:AT1073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37:XFD1041741 BI1237:BI1041741 O1237:O1041823 A1237:F1041823 G960:G961 Z1037:AA1037 AJ919:AT919 M910:M921 J919 AH984 H947:H949 AA848 AO847:AS848 AC846:AC848 R866:S873 BI866:XFD869 AC866:AC869 AJ865:AN866 AE866:AI868 X866:Y867 O866:O867 R885:S921 BF886:BG886 BI880:XFD901 Z924:Z930 AJ950:AT952 AC798:AI798 AD800:AG800 AC967:AD969 W966:AD966 AD847:AJ848 AA865:AI865 AD878:AD883 AD964:AI964 AC963:AJ963 W959:AD959 AD956:AD958 AD892:AD913 AC918:AE918 AD924:AE924 AC926:AE926 AC951:AH951 AJ974 AH924:AJ924 AJ925:AJ929 AE930:AJ933 AI998 AD953:AJ953 AF954:AJ955 W1014:AA1015 AJ964:AJ969 AI970:AJ971 AA574:AN574 AN586:AN594 AM662:AM689 AF1016:AJ1016 G1009 E1009 AV884:AW885 AV846:BG846 AV967:AW968 AV910:AW911 AV892:AW908 AV921:AW930 AV952:AW958 BF1230:BG1230 D1230 B1230 AZ1230 AE1230:AI1230 W1230:AA1230 AC1230 AK1230:AT1230 R1230:T1230 D1131:D1134 BF1136:BG1138 AE1136:AN1143 U1042 AE1042:AG1042 W1001:Z1001 AE999:AF999 AH999:AJ999 AE994:AF994 B1000:E1000 Z1005:AA1005 E938:E939 X970:X971 AC987 X998:Z998 Z938:Z940 AJ934:AJ937 AO936:AT937 AH937 AS990:AT990 E990:G990 AH990 AJ1004:AT1004 AC989 E975:E977 M975:M979 X1079:Y1079 AH978:AH979 E1003:E1004 AB1079 Y992:Z992 M992 BF931:BG935 AZ931:AZ935 BF980:BG980 BF989:BG989 AL980:AS980 AH988 AK946:AT949 AC980 U980 AZ980 Z980:AA980 Z989:AA989 H946:J946 H984:J984 X978:X980 BD985:BG985 Y982:Z982 B1222:G1223 E1057:E1058 O1000:X1000 BD1168:BG1169 AS981:AT983 Z981 G981 BD981:BG981 AL981:AQ983 E981:E983 AI983 D863:E864 AV854:AW882 AJ864:AT864 Z237:Z848 AC860:AC864 M863:M864 R857:S864 BI857:XFD864 AE862:AI864 W863:Y864 B863:B864 M982:M984 X984 Z999 G1016:G1017 Z1000:AJ1000 AH997 X997 J945 E945 H945 AE1001:AT1001 AK992:AT992 AC930:AC933 X930:X933 AK923:AK938 X1002 M988 AC1001:AC1002 AE1002:AI1002 AK1003:AT1003 D1001:E1001 X987:X990 AE987:AF987 M986 E988 G985 AI987 Z983:Z988 E985:E986 AY994:BG999 AC994 AJ947:AJ949 A879:H879 M837:M840 M879 W1121:Y1122 AF941:AH941 AF1027:AG1027 AJ939:AT941 AE998:AG998 AI996:AT996 AF996:AG996 AJ914 AL930:AS931 AL923:AT923 AL925:AP927 AL928:AT929 AL932:AT932 AL933:AS933 AL934:AN937 AK953:AT955 AF970:AG971 Z994:Z997 X994:X995 AH995 M995 Z970:Z979 AC998:AC999 U998 E972:E973 M972:M973 AO1131:AS1131 AO1140:AT1143 T1131:T1134 X941:Z943 W1125:Y1125 AK1123:AN1125 AY1126:BG1126 AU1121:AU1126 AK1002:AR1002 AF991:AH991 M1081:M1082 AE1005:AR1005 Z1135 M1132:M1135 AK1135:AT1135 Z1002:Z1004 E1135:H1135 BF1005:BG1005 G1174:J1174 AE1152:AN1153 X960:X961 AB1010:AB1013 AJ794:AJ800 AD801:AO801 AE869:AJ873 AJ881:AJ883 AE884:AJ887 D1081:E1083 G1081:G1082 G1083:H1083 A1084:E1095 D1096:E1099 G1099:H1099 A1100:E1101 G1100:I1101 G1111:H1111 G1139:J1139 AJ1017:AT1017 Z1209:AT1209 AJ888:AJ894 AI922:AT922 Z960:Z961 O1029:AT1029 AI994:AT994 AI595:AN609 AY1008:BF1008 AV913:AW919 AJ1231:AT1232 AY850:BG850 AY884:BH884 AY887:XFD887 AY913:XFD913 AY990:BG990 AY885:BG885 AV847:AW847 AY847:BG847 AY880:BG882 AY967:BG968 AY910:XFD911 AY865:XFD865 AY952:BG952 AY921:BG921 AY922:XFD922 AY866:BG873 AY874:XFD879 AY892:BG908 AY923:BG930 AY953:XFD953 AY954:BG955 AY956:XFD958 AY1016:BA1016 AY1111:BG1112 AY981:BA981 AY854:BG864 O1021:X1021 AY1000:XFD1000 AY982:BG984 AV963:AW965 AC1131:AC1134 AY1135:BG1135 AY1209:XFD1209 AY985:BA985 AY986:BG988 AY914:BG919 AC1014:AC1015 AY970:BG979 AY1001:BG1004 AY939:BF940 BD1024:BG1025 AY1179:BG1180 AY1231:BA1232 AK1237:BF1041823 AJ1237:AJ1242 AJ1244:AJ1041823 AF1078:AH1078 BF1078:BG1078 D1078 AZ1078 W1078:X1078 B1078 O993:X993 B993:E993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35:AW1135 AV981:AW988 AV993:XFD993 AE895:AJ913 T962 W962:AI962 W1117:X1118 BF962:BG962 D962 AZ962 AC942:AC943 AJ1116:AJ1118 Z1121:AA1125 B950:B951 B962 D1102:E1112 AE1009:AT1009 AY1081:XFD1110 AY1009:BG1013 AE1156:AT1160 M1160:M1161 T1160 J1006:J1007 AO1118:AT1118 AF960:AH961 H1007 J947:J949 I1173:J1173 E1007 AH945:AH949 W1106:Z1110 BI959:XFD963 AO1109:AT1110 AK1081:AK1118 AV1081:AW1114 R959:S963 M1111 AE1105:AJ1114 AL1090:AM1114 AY936:BG938 BI923:XFD943 M938:M940 AL938:AT938 O1103:Q1114 E960:E961 Z1111:Z1118 B1014:B1015 AZ1014:AZ1015 AJ1010:AT1014 D1014:D1015 BF1014:BG1015 AE1014:AI1015 T1014:T1015 AY960:BG961 AV960:AW961 AF1115:AH1118 AN1081:AN1118 X945:X949 AJ945:AT945 AL1116:AM1118 BI945:XFD952 AV936:AW950 R923:S952 AY941:BG950 AY1006:BG1007 AH1006:AH1007 B944 Z944:Z949 M942:M950 O944:Q944 D944:H944 AV1009:AW1013 Z1006:Z1013 U1005 AC1009 AY1139:BG1145 AU1131:AU1145 Z1136:AA1138 AV1079:AW1079 AY1079:BG1079 BF1131:BG1134 AZ1131:AZ1134 Z1131:AA1134 AC1005 AZ1005 AY963:BG965 G1028 AE774:AL776 R1237:AE1041823 AG1237:AI1041823 AF1237:AF1239 AF1241:AF1041823 AX1131:AX1145 AK963:AT974 B1021:E1021 Z993:AH993 AJ993:AT993 BI994:XFD999 AY1040:BG1040 R994:S999 B991 Z990:Z991 AJ991:AT991 W991:X991 AZ991 D991 BF991:BG991 R966:S992 BI966:XFD992 AX994:AX1005 AV992:AW992 AV994:AW1004 AY992:BG992 E992 Z1030:Z1031 AY1227:BA1229 AJ1162:AQ1163 Y1228:Y1229 AE942:AT944 AJ874:AJ875 AI1030:AT1030 AK781:AL783 AH1144:AT1144 AV1139:AW1145 AY1152:BG1162 AY1181:BA1183 AI1181 X936:Z937 AE1146:AH1148 X1129:X1130 Z1129:Z1130 AH1129:AH1130 G1129:G1130 AU1129:BG1129 AI1130:BG1130 AK1129:AR1129 AI1129 AJ1146:BG1146 AJ1078:AT1078 AH1079:AT1079 W1080:Z1080 B1080 AE1080:AU1080 AU1081:AU1118 Z1081:Z1105 AZ1080 D1080 BF1080:BG1080 AB1080:AC1080 R1080:T1080 R1081:S1118 T1121:T1125 AK1126:AP1126 G1145:G1148 AC1136:AC1148 E1145:E1148 AU1024:AU1026 AV1024:BA1025 E1152 AZ1037 B1037 AE1037:AH1037 O1037 BF1037:BG1037 G1037 R1037:T1037 AX1037 AJ1168:BA1169 M1003:M1008 X1005:X1013 AE721:AM723 AJ1145:AT1145 AK802:AN837 H1216:H1221 B1209:D1221 H1210:H1214 AJ1227:AT1229 X1022:X1023 AH1022:AH1023 AY1021:XFD1021 AU1018:AX1021 G1167 AE1030:AG1031 AF1039:AH1039 AB1039 X1039 E1167 AB1167 Z1039 G1039 E1045 X1042:Z1042 AA838:AT838 AA835:AJ837 AV1231:AW1232 AJ1233:BA1236 Z1231:Z1236 X1231:X1236 M1231:M1236 R1231:S1236 AF1231:AG1236 BD1231:BG1236 Z1034 Y1040:Z1040 E1039:E1040 M1040 R1036:S1036 AC1041:AC1042 AC1037 AX1040:AX1041 X1016:X1017 G1041 BF1041:BG1041 O1041 AE1041:AI1041 B1041 AZ1041 Z1041:AA1041 D1041 W1041:X1041 AK1041:AR1041 T1041 AT1042:BG1042 AT1041:AU1041 AS1041:AS1042 M1018:M1020 Z1140:Z1148 AF1017:AH1017 BI1001:XFD1020 AU1009:AU1017 AX1009:AX1017 AV1016:AW1017 AY1017:BG1020 E1016:E1020 X1136:X1148 B1038:E1038 K1038:L1038 AO1152:AT1155 X850 AO850:AS850 AC850:AG850 AJ850:AN863 Z850:Z873 AZ848:AZ849 BF848:BG849 R839:S855 G848:G850 E848:E850 BI841:XFD855 U848:U849 AC849:AS849 X849:AA849 AX847:AX992 AU3:AU1005 Z1021:AT1021 AJ1022:BG1023 AJ1024:AT1025 AC1046 E1048:E1049 BI1039:XFD1046 AQ1125:AR1126 AO1125 X1128:Z1128 AE1128:BG1128 AK1037 AH1171:AH1174 G1171:G1172 AT1161:AT1163 X1046:Z1046 AI1042:AR1042 W1037:X1037 O1038:X1038 AJ1045:AP1045 AJ995:AT995 AK867:AT875 AK876:AN914 AK1018:AT1020 G1127 X1127 Z1127 AE1119:AI1126 AJ1202:AT1208 AY1202:BA1208 AU1202:AX1209 AM1147:BG1148 K1033:L1033 AV1026:BG1026 AU1027:BG1030 AF1166:AH1167 AI1026:AT1028 AK1121:AT1122 A835:H836 D837:H840 AC1151:AC1160 E1151:J1151 Z1151:Z1158 AE1151:BG1151 K1149:L1150 B1149:E1150 O1149:X1150 O1033:X1033 B1033:E1033 Z1033:AA1033 AJ956:AT962 AJ978:AJ982 AJ975:AT976 AL979:AT979 AK979:AK983 AL988:AT988 AL989:AS989 AJ997:AT998 AL999:AT1000 AJ1002:AJ1003 AJ1006:AX1008 AK1015:AT1016 AE1131:AN1134 AK839:AN848 AM691:AM720 AM724:AM764 AA766:AM766 AL1148 AI1148 Z1149:XFD1150 M1043:M1045 X1043:X1044 AC1128 AK1119:AU1120 R1119:T1120 B1102:B1124 AZ1115:AZ1125 D1116:D1125 BF1118:BG1125 W1119:AA1120 E1036 BI1036:XFD1037 Y1036:Z1036 AU1039:BG1039 AU1040:AW1040 AS1038:XFD1038 AS1037:AU1037 AK1039:AT1040 Z1038:AH1038 AJ1038:AK1038 AL1037:AR1038 W1032:Z1032 I1032 AU1127:BG1127 AC1119:AC1126 BI1111:XFD1148 R1121:S1148 G1055 X1126:Z1126 AV1126:AW1126 AH1127:AR1127 AB1022:AB1023 AF1050:AH1050 I1165:I1166 I1050 B1224:E1224 G1022:G1026 Z1022:Z1028 X1030:X1031 R1030:S1031 AZ1032 AX1032 AK1032:AU1032 AE1032:AH1032 BI1030:XFD1032 B1032 R1022:S1028 D1032 R1032:T1032 BI1022:XFD1028 X1026:X1028 BF1032:BG1032 AK1033:XFD1033 G1062:G1063 AF1072:AH1072 AF1071:AG1071 AU1078:AU1079 AX1078:AX1126 AE1076:AT1076 AK1075:AT1075 AF1075:AH1075 E1075 G1075 X1062 E1062 AR1044:BG1045 R1039:S1046 AE1046:BG1046 AK1044:AP1044 Z1043:Z1045 AK1043:BG1043 AC1076:AC1077 J1076:J1077 AE1077:BG1077 AU1152:AX1163 AH1161:AH1163 O1047:X1047 X1151:X1174 B1047:E1047 G1057:G1059 AY1163:BA1163 AR1163 AS1162:AS1163 BD1163:BG1166 X1050:Z1050 M1052 AF1168:AG1169 AJ1170:BG1174 AJ1191:BA1201 Z1191:Z1208 R1191:S1208 AU1227:AU1232 AX1227:AX1232 AV1227:AW1229 B1035:E1035 O1035:X1035 K1035:L1035 Z1224:AB1224 AJ1224:XFD1224 Z1016:Z1020 R1001:S1020 AH1165 AF1164:AG1165 AJ1164:BA1166 AJ1167:BG1167 B1165:B1166 AM1190:AN1190 AA1181:AA1184 AJ1190:AK1190 AJ1184:AK1185 AC1181:AC1190 BD1181:BG1208 AM1184:BA1185 AI1189:AN1189 AJ1186:AN1188 B1181:C1190 M1180:M1221 R1182:T1190 X1181:X1208 V1181:V1190 AA1186:AA1189 AE1181:AG1190 G1048:G1049 AJ1059:BG1059 M1064:M1071 AU1072:BG1073 AU1075:BG1076 AC1073:AC1074 J1073:J1074 AE1074:BG1074 AK1061:BG1071 AI1066 AK1072:AT1072 R3:AT181 Z1035:AA1035 Z1210:XFD1223 K1223:L1224 AK1034:BG1034 BI1034:XFD1034 E1034 R1034:S1034 M1034 M1036 AK1035:XFD1035 BD1048:BG1052 BD1060:BG1060 X1059:X1060 AJ1053:BG1053 G1053 AF1053:AH1053 AF1059:AH1059 X1052:X1054 AJ1060:BA1060 M1060:M1062 M1054 Z1048:Z1049 X1056 M1048:M1049 M1173:M1174 E1174 M1056:M1058 AJ1054:BA1058 BD1054:BG1058 K1047:L1047 Z1047:XFD1047 AJ1048:BA1052 O1209:X1224 AJ1031:BG1031 AD1033:AH1033 AD1035:AH1035 AC1030:AC1035 AD1224:AH1224 AK1182:AX1183 AO1186:BA1190 AK1036:BG1036 R1048:S1079 Z1051:Z1079 BI1048:XFD1080 X1064:X1077 G1071:G1072 E1071:E1072 AF1225:AG1229 BI1225:XFD1236 AJ1225:BA1226 Z1225:Z1229 BD1225:BG1229 R1225:S1229 M1225:M1229 X1225:X1229 AJ1175:BA1178 AJ1179:AX1181 BD1175:BG1178 BI1151:XFD1208 R1151:S1181 AN578:AN580 AI617:AM619 AO617:AT620 AN617:AN633 AN635:AN800 Z1160:Z1180 AK978:AT978 AL977:AT977 AJ984:AT987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C1252" xr:uid="{00000000-0001-0000-0000-000000000000}"/>
  <sortState xmlns:xlrd2="http://schemas.microsoft.com/office/spreadsheetml/2017/richdata2" ref="AD1163:AD1222">
    <sortCondition descending="1" ref="AD1163:AD1222"/>
  </sortState>
  <phoneticPr fontId="0" type="noConversion"/>
  <conditionalFormatting sqref="A1">
    <cfRule type="duplicateValues" dxfId="60" priority="205"/>
  </conditionalFormatting>
  <conditionalFormatting sqref="A803:A805 A809:A810 P1135:T1137 W1135:W1137 P1158:P1161">
    <cfRule type="cellIs" dxfId="59" priority="83" operator="equal">
      <formula>"No"</formula>
    </cfRule>
    <cfRule type="cellIs" dxfId="58" priority="84" operator="equal">
      <formula>"Yes"</formula>
    </cfRule>
  </conditionalFormatting>
  <conditionalFormatting sqref="A851:A855">
    <cfRule type="cellIs" dxfId="57" priority="69" operator="equal">
      <formula>"No"</formula>
    </cfRule>
    <cfRule type="cellIs" dxfId="56" priority="70" operator="equal">
      <formula>"Yes"</formula>
    </cfRule>
  </conditionalFormatting>
  <conditionalFormatting sqref="H1222:J1223">
    <cfRule type="cellIs" dxfId="55" priority="5" operator="equal">
      <formula>"No"</formula>
    </cfRule>
    <cfRule type="cellIs" dxfId="54" priority="6" operator="equal">
      <formula>"Yes"</formula>
    </cfRule>
  </conditionalFormatting>
  <conditionalFormatting sqref="K826">
    <cfRule type="duplicateValues" dxfId="53" priority="136"/>
  </conditionalFormatting>
  <conditionalFormatting sqref="K950 K833 A740:A743 A811:A812 A790:A794 A745:A750 A767:A773 A752:A764 A776 A778:A780 A815:A816 A823:A825 A836 A806 A839:A840 A844:A845 K953 K956 A798:A801 A2:A715 A859:A986 A847:A850 A1004:A1158 A1160:A1048576">
    <cfRule type="duplicateValues" dxfId="52" priority="4791"/>
  </conditionalFormatting>
  <conditionalFormatting sqref="M1:M550 P669:P848 A841:A843 T846:T848 P847:T877 W847:W877 P879:T903 W879:W903 P887:P928 P928:T933 W928:W933 T934:T949 P934:P962 P937:T949 W937:W952 P964:P971 T967:T971">
    <cfRule type="cellIs" dxfId="51" priority="63" operator="equal">
      <formula>"No"</formula>
    </cfRule>
    <cfRule type="cellIs" dxfId="50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57">
    <cfRule type="cellIs" dxfId="49" priority="394" operator="equal">
      <formula>"No"</formula>
    </cfRule>
    <cfRule type="cellIs" dxfId="48" priority="398" operator="equal">
      <formula>"Yes"</formula>
    </cfRule>
  </conditionalFormatting>
  <conditionalFormatting sqref="M635:M1173 A846 P972:T1029 W972:W1080 P1030:P1032 R1030:T1032 P1032:T1080 P1115:P1135 T1126:T1130 P1138:P1148 T1138:T1148 P1151:P1156 T1151:T1159 M1180:M1236 P1181:S1190">
    <cfRule type="cellIs" dxfId="47" priority="81" operator="equal">
      <formula>"No"</formula>
    </cfRule>
    <cfRule type="cellIs" dxfId="46" priority="82" operator="equal">
      <formula>"Yes"</formula>
    </cfRule>
  </conditionalFormatting>
  <conditionalFormatting sqref="P1230">
    <cfRule type="cellIs" dxfId="45" priority="3" operator="equal">
      <formula>"No"</formula>
    </cfRule>
    <cfRule type="cellIs" dxfId="44" priority="4" operator="equal">
      <formula>"Yes"</formula>
    </cfRule>
  </conditionalFormatting>
  <conditionalFormatting sqref="P801:T801 W801 A826:A835 A837:A838 P916:T918 W916:W918 P920:T923 W920:W923 T924:T928 W1159">
    <cfRule type="cellIs" dxfId="43" priority="71" operator="equal">
      <formula>"No"</formula>
    </cfRule>
    <cfRule type="cellIs" dxfId="42" priority="72" operator="equal">
      <formula>"Yes"</formula>
    </cfRule>
  </conditionalFormatting>
  <conditionalFormatting sqref="P1159:T1159">
    <cfRule type="cellIs" dxfId="41" priority="113" operator="equal">
      <formula>"No"</formula>
    </cfRule>
    <cfRule type="cellIs" dxfId="40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89:AC1089 A1089:D1089 AN465 X473:X486 AK473:AK484 AJ485:AL485 AL428:AL444 AL446:AL463 AN280:AO289 AL519:AN523 AK489:AK504 AE521:AE523 O1085:O1086 O1092:O1093 AS533:AT536 AC1084 AI495:AJ495 AJ510:AL510 W579:Z579 AE528:AE529 AJ489:AJ494 AC755:AH755 AX574:BD574 AP532:AR536 AI512:AL513 AY542:BD556 AR557:AR558 BA558:BD559 BA512:BD541 AI518:AI529 AI557:AK559 AS473:AS476 AJ516:AK517 B1085:B1086 J1089:W1089 J1084 K405:L406 I1090:I1091 N358 N1084:O1084 K407:N407 N401:O404 AJ496:AJ504 AI430:AN432 AY405:AZ406 AL473:AN493 AY559:BD570 AZ1084 AZ1089:AZ1091 N405:V406 BA571:BD571 AY571:AZ577 AV1100:AV1101 I1085:J1088 AJ520 O473:W483 N1100:V1101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00:AF1101 AF522:AF529 AE524:AF527 AE1089:AF1089 AF1090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85:L1095 J1090:J1095 AI654:AI659 AE635:AF667 AC662:AC667 AA635:AC661 AR602:AR628 AF1084 AI635:AJ653 B1102:B1105 N1115:N1116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1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84:Y1084 AA1084 AV720:BF720 AE703:AF716 Z716:AC716 J580:Y630 AP598:AQ633 AI596:AJ633 AK579:AK633 AS602:AT627 I716:Y748 K1112:L1112 B799:D801 AP795:AR795 A799:A822 M1138 AB846:AG846 AH653:AH664 AO1100:AS1101 AH650:AH651 AH716:AH721 AA714:AG715 AH706:AH714 AI714:AL715 AK559:AL578 AL580:AL633 J1153 AR767:AR794 A635:D798 J1104:N1108 M1084:N1095 AG751:AJ752 AO580:AO634 Z748:AI748 M1152 A964:D965 AK635:AM671 AI846 J703:Y715 AO635:AT661 AN669:AT699 AO662:AP669 AL1100:AM1101 AH696:AL699 AJ736:AL739 AN611:AN633 AA741:AL747 AL740:AL742 AH748:AL760 AM579:AM633 AV629:BF629 AI672:AL695 AJ707:AL715 AI701:AL706 AH740:AL740 AI721:AL735 AE761:AM761 N967:N968 O1131:O1135 M1132:M1135 AH963:AI963 B967:B968 Y963:Z963 I706:I715 Y1139 AO964:AQ965 AO958:AO962 I703:I704 AQ953:AQ962 AM714:AN714 AN668 AO741:AS761 AN664:AN666 AI1084:AJ1084 AI1100:AJ1101 AH817:AJ822 AJ1089 AL1084:AQ1084 AM1089:AS1089 AB963:AB965 AN1085:AN1088 AN963:AQ963 BA1090:BA1099 AY1100:BA1101 A1084:A1099 A1100:C1101 J1096:N1099 J1100:M1103 AT1099:AT1100 AP953:AP958 BH1100:XFD1101 U1136:U1137 J1136:J1137 O1123:O1124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89:XFD1089 BH635:BH761 Y1180 AV766:BF797 AV801:XFD801 AX721:AX765 AV663:BF663 BG920 AM530:AO577 AR796:AR800 AP802:AP822 AO762:AO822 I618:Z618 Z1159:AC1159 I964:AA965 AP762:AQ800 AN801:AP801 BH1159 J1159:X1159 AE1159:AF1159 A1159:D1159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31 AE762:AH822 AA880:AC918 AE917:AS919 AD880:AD916 AE880:AH918 AA966:AI971 AM672:AM699 AH1159:AT1159 AY921:XFD923 AV1089 D1230 W1230:X1230 AK1230 AN1230 S1230 BG1230 AY964:BF971 AO516:AT520 AL930:AQ933 AO934:AQ952 AG1225:AH1226 I879:Y880 AY864:XFD864 AL863:AT863 AN721:AT740 AK864:AT864 H1222:J1223 AR928:AT962 K648:K667 AD974:AD983 J635:J667 I646:J648 L635:Y667 K635:K646 AD972 I966:M971 I972:AC983 J1140:J1144 AI878:AK918 AJ934:AJ937 AY1089:BA1089 I920:AJ933 AI762:AI800 AA877:AK877 AA863:AI879 AJ1129 AY1159:BF1159 AK920:AK937 AR1044:XFD1045 K1210:M1214 AV1159:AW1159 AY916:XFD919 AL920:AT929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Y1178 AO701:AT715 AQ558:AT558 AS557:AT559 AV468:AW577 AT1088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F1111:AG1112 BE1111:BF1114 J1109:M1110 M1111:M1114 AY928:XFD962 AJ762:AJ816 AJ950:AK962 AB934:AI962 A1135:D1135 I1135:XFD1135 AN1077:AN1078 AJ963:AM971 BA963:BA971 W963:X971 Z963:Z971 R963:S971 BE963:BG971 D963:D971 AS963:AT965 AC938:AT949 AA934:AA951 AJ876:AJ877 AL875:AQ875 AH1227 AL865:AM918 I934:Z962 AJ1145:AK1146 AM1146:AN1146 AQ1180 AM1129 AN1081:AN1083 AI1079:AT1079 Y1120:Y1121 I1149:J1151 AQ1147 AM578:AT578 AQ1029 M1180 AD762:AD836 AQ1167 I1167:M1167 AA1167:AB1167 AK1077:AK1078 BD1231:BH1236 AA762:AC845 AD839:AD845 J850:J874 AV1231:AW1236 AI1231:AT1236 AE1231:AG1236 K1231:X1236 B1231:D1236 AY1231:BA1236 Z1231:AC1236 AM1151 AJ1145:AJ1148 I1145:M1148 R1080:S1114 BE1080:BG1110 BA1080:BA1088 Z1080:Z1088 M1080:M1082 AV1080:AW1080 AY1080:XFD1080 I1080:AT1080 AV784:AX962 AN741:AN876 AJ823:AJ874 AL823:AM863 A800:D962 AO813:AT874 AY701:BF918 AA846:AA863 Z714:Z879 AB847:AI863 BH762:XFD863 T750:Y874 BG1:BG863 AK801:AK863 I748:I878 K748:S874 J748:J848 AF1129:AG1130 AK865:AK876 I875:AJ875 AB1145:AB1146 AR1149 AF1194:AG1194 X1136:X1148 AK1136:AK1148 AN1135:AN1148 AM1145:AM1148 AB1150:AC1150 AY1149:BH1150 AV1149:AW1150 AL1148:AL1150 AE1149:AE1150 B1149:D1150 K1149:Y1150 AA1149:AC1149 AA1224:AA1225 AM721:AM760 AM762:AM822 AI1148:AI1150 AJ1149:AK1150 AM1149:AP1150 AS1149:AT1150 AK1081:AK1131 D1080:D1134 AQ1120:AQ1121 J1111:J1121 AN1090:AN1131 AF1142:AG1153 AN1151:AN1160 AA1150:AA1152 AM1127:AN1127 AU1080:AU1134 AX1080:AX1134 BG1111:BG1148 W1081:X1134 S1111:S1148 AJ1127:AK1127 J1125:J1131 N1077:AJ1079 R1030:S1031 AE1209:AE1223 I1033:X1033 AU1033:BH1033 AF1223 AY1209:BH1223 M1071 I1044:AP1045 M1062:M1063 AF1164:AG1169 AL1075:AM1079 AO1077:CM1079 P1063:XFD1063 J1063 A1072:D1080 N1075:AK1076 AN1075:CM1076 I1061:CM1061 AJ1161:AJ1163 AK1151:AK1163 J1168:J1172 J1191:J1221 AQ1176 T1:AT181 AQ984:AQ1025 J1162:J1164 AH1165:AH1166 I1165:J1166 AA1165:AA1166 B1165:B1166 AR984:AT1029 AE972:AT983 AQ1027 AV964:AW1033 AU446:AU1033 AY972:XFD1033 AX963:AX1033 I1030:O1033 P1032:T1033 AR1032:AT1033 S1151:S1174 X1151:X1174 BG1151:BG1174 AM1161:AN1173 Z1190:AA1190 Z1185:AA1185 M1185:M1190 AJ1184:AJ1185 X1181:X1208 I1064:M1070 AL1209:AT1223 AI1209:AI1223 I1224 AA1209:AC1223 I1046:XFD1060 Y1224 N1222:N1224 BB1224:BC1224 AJ1164:AK1175 A972:D1070 AS1030:AT1030 AL1032:AL1033 AI1032:AI1033 AI1030 AJ1030:AK1033 AM1030:AQ1033 AL1030 I1034:AB1043 AC1030:AC1043 U1030:AB1033 AD1030:AH1033 AD1034:XFD1043 I1072:M1079 CN1061:XFD1079 AN635:AN662 C1071:D1072 AB1224:AB1226 AC1225:AC1226 AV1209:AW1229 AE1224:AF1226 K1216:M1229 B1209:D1229 J1224:J1236 AY1224:BA1229 BD1224:BH1229 AJ1185:AK1229 AM1224:AT1229 O1209:X1229 AL1225:AL1229 AI1225:AI1229 AA1227:AC1229 AE1227:AG1229 AX1136:AX1236 Z1090:Z1230 AU1136:AU1236 AN1174:AN1208 AK1176:AK1185 J1175:J1180 AJ1176:AJ1181 AN579:AN609 N1062:CM1074 AF1208:AG1208 I984:AP1029" xr:uid="{ED956DE9-B3DC-4FA3-83E1-4BE1D8807D51}"/>
    <dataValidation type="list" allowBlank="1" showInputMessage="1" showErrorMessage="1" sqref="F1131 E976:F977 F972:F973 F1122:F1124 F1139:J1139 F1136:F1138 F1140:F1144 F1153:F1164 F1168 F1170 F1179 F1191 F1199 F1207 F939:F943 F1081:F1112 E961:F963 F1115:F1119 F945 F1173:F1175 E993:F993 F1215 E964:E1017 F1209 E182:E962 F1062:F1063 F1071 E1005:F1029 F1032:F1040 E1162:E1173 E1030:E1160 E1175:E123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J1152:K1152 J1155:J1156 H1155:H1159 J1159 J916:J918 J958:J962 J920:J923 J883:J903 J879 J928:J949 J1135 J736:J875 J1145:J1151 H1140:H1153 J1165:J1167 H1162:H1173 J1181:J1221 J1064:J1070 J1224 H1224:H1236 J966:J1061 H182:H1138 J1072:J1080 H1175:H1221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G1155:G1156 I1159 K877 AO953:AO957 K801 I1155:I1156 G1159 K917:K918 K920:K923 K866:K875 K881:K903 K937:K949 K863:K864 K928:K933 K1135 K1167 K1145:K1148 G1140:G1153 G1162:G1173 K1064:K1070 K972:K1061 G182:G1137 K1072:K1080 G1175:G1236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AH1230 AH1171:AH1174 AH1165:AH1167 AH1181:AH1190 AH1209:AH1224 AH491:AH1163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AH920:AH923 AH1175:AH1208 AH970:AH1080 AH1225:AH1229 AH1164:AH1166 AH1231:AH1236 AH1135 AH928:AH933 AH863:AH864 AH937:AH949 AH1168:AH1170 AH801 AH875 AH917:AH918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3"/>
  <sheetViews>
    <sheetView showGridLines="0" zoomScale="70" zoomScaleNormal="90" workbookViewId="0">
      <pane ySplit="1" topLeftCell="A176" activePane="bottomLeft" state="frozen"/>
      <selection pane="bottomLeft" activeCell="N1" sqref="B1:N1048576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customWidth="1" outlineLevel="1"/>
    <col min="4" max="4" width="16.3984375" customWidth="1" outlineLevel="1"/>
    <col min="5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3.09765625" style="5" customWidth="1" outlineLevel="1"/>
    <col min="14" max="14" width="14.296875" style="5" customWidth="1" outlineLevel="1"/>
    <col min="15" max="15" width="24.898437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13.0976562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7061</v>
      </c>
      <c r="N1" s="2" t="s">
        <v>15</v>
      </c>
      <c r="O1" s="2" t="s">
        <v>7062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93" t="s">
        <v>7063</v>
      </c>
      <c r="W1" s="2" t="s">
        <v>24</v>
      </c>
      <c r="X1" s="2" t="s">
        <v>7064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2500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7065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2507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7066</v>
      </c>
    </row>
    <row r="2" spans="1:56" s="23" customFormat="1" ht="11.25" customHeight="1">
      <c r="A2" s="11" t="s">
        <v>7067</v>
      </c>
      <c r="B2" s="12" t="s">
        <v>7068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7069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7070</v>
      </c>
      <c r="O2" s="12" t="s">
        <v>7071</v>
      </c>
      <c r="P2" s="12" t="s">
        <v>7072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7073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7069</v>
      </c>
      <c r="AN2" s="12" t="s">
        <v>7074</v>
      </c>
      <c r="AO2" s="12" t="s">
        <v>80</v>
      </c>
      <c r="AP2" s="12" t="s">
        <v>7075</v>
      </c>
      <c r="AQ2" s="12" t="s">
        <v>7076</v>
      </c>
      <c r="AR2" s="12" t="s">
        <v>7076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7077</v>
      </c>
      <c r="B3" s="12" t="s">
        <v>7068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7069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7078</v>
      </c>
      <c r="O3" s="12" t="s">
        <v>7079</v>
      </c>
      <c r="P3" s="12" t="s">
        <v>7080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7073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7069</v>
      </c>
      <c r="AN3" s="12" t="s">
        <v>7074</v>
      </c>
      <c r="AO3" s="12" t="s">
        <v>80</v>
      </c>
      <c r="AP3" s="12" t="s">
        <v>7075</v>
      </c>
      <c r="AQ3" s="12" t="s">
        <v>7076</v>
      </c>
      <c r="AR3" s="12" t="s">
        <v>7076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7081</v>
      </c>
      <c r="B4" s="12" t="s">
        <v>7068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7069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7082</v>
      </c>
      <c r="O4" s="12" t="s">
        <v>7083</v>
      </c>
      <c r="P4" s="12" t="s">
        <v>7084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7085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7069</v>
      </c>
      <c r="AN4" s="12" t="s">
        <v>7074</v>
      </c>
      <c r="AO4" s="12" t="s">
        <v>80</v>
      </c>
      <c r="AP4" s="12" t="s">
        <v>7075</v>
      </c>
      <c r="AQ4" s="12" t="s">
        <v>7076</v>
      </c>
      <c r="AR4" s="12" t="s">
        <v>7076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7086</v>
      </c>
      <c r="B5" s="12" t="s">
        <v>7068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7069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7082</v>
      </c>
      <c r="O5" s="12" t="s">
        <v>7083</v>
      </c>
      <c r="P5" s="12" t="s">
        <v>7084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7073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7069</v>
      </c>
      <c r="AN5" s="12" t="s">
        <v>7074</v>
      </c>
      <c r="AO5" s="12" t="s">
        <v>80</v>
      </c>
      <c r="AP5" s="12" t="s">
        <v>7075</v>
      </c>
      <c r="AQ5" s="12" t="s">
        <v>7076</v>
      </c>
      <c r="AR5" s="12" t="s">
        <v>7076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7087</v>
      </c>
      <c r="B6" s="12" t="s">
        <v>7068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7069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7088</v>
      </c>
      <c r="O6" s="12" t="s">
        <v>7083</v>
      </c>
      <c r="P6" s="12" t="s">
        <v>7089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7073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7069</v>
      </c>
      <c r="AN6" s="12" t="s">
        <v>7074</v>
      </c>
      <c r="AO6" s="12" t="s">
        <v>80</v>
      </c>
      <c r="AP6" s="12" t="s">
        <v>7075</v>
      </c>
      <c r="AQ6" s="12" t="s">
        <v>7076</v>
      </c>
      <c r="AR6" s="12" t="s">
        <v>7076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7090</v>
      </c>
      <c r="B7" s="12" t="s">
        <v>7068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7069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7091</v>
      </c>
      <c r="O7" s="12" t="s">
        <v>7083</v>
      </c>
      <c r="P7" s="12" t="s">
        <v>7092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7073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7069</v>
      </c>
      <c r="AN7" s="12" t="s">
        <v>7074</v>
      </c>
      <c r="AO7" s="12" t="s">
        <v>80</v>
      </c>
      <c r="AP7" s="12" t="s">
        <v>7075</v>
      </c>
      <c r="AQ7" s="12" t="s">
        <v>7076</v>
      </c>
      <c r="AR7" s="12" t="s">
        <v>7076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7093</v>
      </c>
      <c r="B8" s="12" t="s">
        <v>7068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7069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7094</v>
      </c>
      <c r="O8" s="12" t="s">
        <v>7095</v>
      </c>
      <c r="P8" s="12" t="s">
        <v>7096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7097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7069</v>
      </c>
      <c r="AN8" s="12" t="s">
        <v>7074</v>
      </c>
      <c r="AO8" s="12" t="s">
        <v>80</v>
      </c>
      <c r="AP8" s="12" t="s">
        <v>7075</v>
      </c>
      <c r="AQ8" s="12" t="s">
        <v>7076</v>
      </c>
      <c r="AR8" s="12" t="s">
        <v>7076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7098</v>
      </c>
      <c r="B9" s="12" t="s">
        <v>7068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7069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7094</v>
      </c>
      <c r="O9" s="12" t="s">
        <v>7095</v>
      </c>
      <c r="P9" s="12" t="s">
        <v>7096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7073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7069</v>
      </c>
      <c r="AN9" s="12" t="s">
        <v>7074</v>
      </c>
      <c r="AO9" s="12" t="s">
        <v>80</v>
      </c>
      <c r="AP9" s="12" t="s">
        <v>7075</v>
      </c>
      <c r="AQ9" s="12" t="s">
        <v>7076</v>
      </c>
      <c r="AR9" s="12" t="s">
        <v>7076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7099</v>
      </c>
      <c r="B10" s="12" t="s">
        <v>7068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7069</v>
      </c>
      <c r="H10" s="12" t="s">
        <v>67</v>
      </c>
      <c r="I10" s="13"/>
      <c r="J10" s="12" t="s">
        <v>7100</v>
      </c>
      <c r="K10" s="12"/>
      <c r="L10" s="13"/>
      <c r="M10" s="213" t="s">
        <v>68</v>
      </c>
      <c r="N10" s="12" t="s">
        <v>7082</v>
      </c>
      <c r="O10" s="12" t="s">
        <v>7083</v>
      </c>
      <c r="P10" s="12" t="s">
        <v>7084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7073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7069</v>
      </c>
      <c r="AN10" s="12" t="s">
        <v>7074</v>
      </c>
      <c r="AO10" s="12" t="s">
        <v>80</v>
      </c>
      <c r="AP10" s="12" t="s">
        <v>7075</v>
      </c>
      <c r="AQ10" s="12" t="s">
        <v>7076</v>
      </c>
      <c r="AR10" s="12" t="s">
        <v>7076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7101</v>
      </c>
      <c r="B11" s="12" t="s">
        <v>7068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7069</v>
      </c>
      <c r="H11" s="12" t="s">
        <v>67</v>
      </c>
      <c r="I11" s="13"/>
      <c r="J11" s="12" t="s">
        <v>7100</v>
      </c>
      <c r="K11" s="12"/>
      <c r="L11" s="13"/>
      <c r="M11" s="213" t="s">
        <v>68</v>
      </c>
      <c r="N11" s="12" t="s">
        <v>7088</v>
      </c>
      <c r="O11" s="12" t="s">
        <v>7083</v>
      </c>
      <c r="P11" s="12" t="s">
        <v>7089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7073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7069</v>
      </c>
      <c r="AN11" s="12" t="s">
        <v>7074</v>
      </c>
      <c r="AO11" s="12" t="s">
        <v>80</v>
      </c>
      <c r="AP11" s="12" t="s">
        <v>7075</v>
      </c>
      <c r="AQ11" s="12" t="s">
        <v>7076</v>
      </c>
      <c r="AR11" s="12" t="s">
        <v>7076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7102</v>
      </c>
      <c r="B12" s="12" t="s">
        <v>7068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7069</v>
      </c>
      <c r="H12" s="12" t="s">
        <v>67</v>
      </c>
      <c r="I12" s="13"/>
      <c r="J12" s="12" t="s">
        <v>7100</v>
      </c>
      <c r="K12" s="12"/>
      <c r="L12" s="13"/>
      <c r="M12" s="213" t="s">
        <v>68</v>
      </c>
      <c r="N12" s="12" t="s">
        <v>7091</v>
      </c>
      <c r="O12" s="12" t="s">
        <v>7083</v>
      </c>
      <c r="P12" s="12" t="s">
        <v>7092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7073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7069</v>
      </c>
      <c r="AN12" s="12" t="s">
        <v>7074</v>
      </c>
      <c r="AO12" s="12" t="s">
        <v>80</v>
      </c>
      <c r="AP12" s="12" t="s">
        <v>7075</v>
      </c>
      <c r="AQ12" s="12" t="s">
        <v>7076</v>
      </c>
      <c r="AR12" s="12" t="s">
        <v>7076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7103</v>
      </c>
      <c r="B13" s="12" t="s">
        <v>7068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7069</v>
      </c>
      <c r="H13" s="12" t="s">
        <v>67</v>
      </c>
      <c r="I13" s="13"/>
      <c r="J13" s="12" t="s">
        <v>7100</v>
      </c>
      <c r="K13" s="12"/>
      <c r="L13" s="13"/>
      <c r="M13" s="213" t="s">
        <v>68</v>
      </c>
      <c r="N13" s="12" t="s">
        <v>7094</v>
      </c>
      <c r="O13" s="12" t="s">
        <v>7095</v>
      </c>
      <c r="P13" s="12" t="s">
        <v>7096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7073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7069</v>
      </c>
      <c r="AN13" s="12" t="s">
        <v>7074</v>
      </c>
      <c r="AO13" s="12" t="s">
        <v>80</v>
      </c>
      <c r="AP13" s="12" t="s">
        <v>7075</v>
      </c>
      <c r="AQ13" s="12" t="s">
        <v>7076</v>
      </c>
      <c r="AR13" s="12" t="s">
        <v>7076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7104</v>
      </c>
      <c r="B14" s="12" t="s">
        <v>7068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7069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7105</v>
      </c>
      <c r="O14" s="31" t="s">
        <v>7106</v>
      </c>
      <c r="P14" s="31" t="s">
        <v>7107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7108</v>
      </c>
      <c r="W14" s="82" t="s">
        <v>7109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7110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7069</v>
      </c>
      <c r="AN14" s="162" t="s">
        <v>7111</v>
      </c>
      <c r="AO14" s="162" t="s">
        <v>161</v>
      </c>
      <c r="AP14" s="31" t="s">
        <v>7112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7113</v>
      </c>
      <c r="B15" s="12" t="s">
        <v>7068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7069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7105</v>
      </c>
      <c r="O15" s="31" t="s">
        <v>7106</v>
      </c>
      <c r="P15" s="31" t="s">
        <v>7107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7114</v>
      </c>
      <c r="W15" s="82" t="s">
        <v>7109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7110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7069</v>
      </c>
      <c r="AN15" s="162" t="s">
        <v>7111</v>
      </c>
      <c r="AO15" s="162" t="s">
        <v>161</v>
      </c>
      <c r="AP15" s="31" t="s">
        <v>7112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7115</v>
      </c>
      <c r="B16" s="12" t="s">
        <v>7068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7069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7116</v>
      </c>
      <c r="O16" s="39" t="s">
        <v>7083</v>
      </c>
      <c r="P16" s="39" t="s">
        <v>7117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7118</v>
      </c>
      <c r="W16" s="79" t="s">
        <v>7109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7119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7069</v>
      </c>
      <c r="AN16" s="39" t="s">
        <v>739</v>
      </c>
      <c r="AO16" s="39" t="s">
        <v>80</v>
      </c>
      <c r="AP16" s="39" t="s">
        <v>7120</v>
      </c>
      <c r="AQ16" s="39" t="s">
        <v>7121</v>
      </c>
      <c r="AR16" s="39" t="s">
        <v>7121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7122</v>
      </c>
      <c r="B17" s="12" t="s">
        <v>7068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7069</v>
      </c>
      <c r="H17" s="39" t="s">
        <v>67</v>
      </c>
      <c r="I17" s="56"/>
      <c r="J17" s="39" t="s">
        <v>7100</v>
      </c>
      <c r="K17" s="39"/>
      <c r="L17" s="56"/>
      <c r="M17" s="75" t="s">
        <v>68</v>
      </c>
      <c r="N17" s="39" t="s">
        <v>7116</v>
      </c>
      <c r="O17" s="39" t="s">
        <v>7083</v>
      </c>
      <c r="P17" s="39" t="s">
        <v>7117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7118</v>
      </c>
      <c r="W17" s="79" t="s">
        <v>7109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7119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7069</v>
      </c>
      <c r="AN17" s="39" t="s">
        <v>739</v>
      </c>
      <c r="AO17" s="39" t="s">
        <v>80</v>
      </c>
      <c r="AP17" s="39" t="s">
        <v>7120</v>
      </c>
      <c r="AQ17" s="39" t="s">
        <v>7121</v>
      </c>
      <c r="AR17" s="39" t="s">
        <v>7121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7123</v>
      </c>
      <c r="B18" s="12" t="s">
        <v>7068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7069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7082</v>
      </c>
      <c r="O18" s="39" t="s">
        <v>7083</v>
      </c>
      <c r="P18" s="39" t="s">
        <v>7084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7118</v>
      </c>
      <c r="W18" s="79" t="s">
        <v>7109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7119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7069</v>
      </c>
      <c r="AN18" s="39" t="s">
        <v>739</v>
      </c>
      <c r="AO18" s="39" t="s">
        <v>80</v>
      </c>
      <c r="AP18" s="39" t="s">
        <v>7120</v>
      </c>
      <c r="AQ18" s="39" t="s">
        <v>7121</v>
      </c>
      <c r="AR18" s="39" t="s">
        <v>7121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7124</v>
      </c>
      <c r="B19" s="12" t="s">
        <v>7068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7069</v>
      </c>
      <c r="H19" s="39" t="s">
        <v>67</v>
      </c>
      <c r="I19" s="56"/>
      <c r="J19" s="39" t="s">
        <v>7100</v>
      </c>
      <c r="K19" s="39"/>
      <c r="L19" s="56"/>
      <c r="M19" s="75" t="s">
        <v>68</v>
      </c>
      <c r="N19" s="39" t="s">
        <v>7082</v>
      </c>
      <c r="O19" s="39" t="s">
        <v>7083</v>
      </c>
      <c r="P19" s="39" t="s">
        <v>7084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7118</v>
      </c>
      <c r="W19" s="79" t="s">
        <v>7109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7119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7069</v>
      </c>
      <c r="AN19" s="39" t="s">
        <v>739</v>
      </c>
      <c r="AO19" s="39" t="s">
        <v>80</v>
      </c>
      <c r="AP19" s="39" t="s">
        <v>7120</v>
      </c>
      <c r="AQ19" s="39" t="s">
        <v>7121</v>
      </c>
      <c r="AR19" s="39" t="s">
        <v>7121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7125</v>
      </c>
      <c r="B20" s="12" t="s">
        <v>7068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7069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7094</v>
      </c>
      <c r="O20" s="39" t="s">
        <v>7095</v>
      </c>
      <c r="P20" s="39" t="s">
        <v>7096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7118</v>
      </c>
      <c r="W20" s="79" t="s">
        <v>7109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7119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7069</v>
      </c>
      <c r="AN20" s="39" t="s">
        <v>739</v>
      </c>
      <c r="AO20" s="39" t="s">
        <v>80</v>
      </c>
      <c r="AP20" s="39" t="s">
        <v>7120</v>
      </c>
      <c r="AQ20" s="39" t="s">
        <v>7121</v>
      </c>
      <c r="AR20" s="39" t="s">
        <v>7121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7126</v>
      </c>
      <c r="B21" s="12" t="s">
        <v>7068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7069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7082</v>
      </c>
      <c r="O21" s="39" t="s">
        <v>7083</v>
      </c>
      <c r="P21" s="39" t="s">
        <v>7084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7127</v>
      </c>
      <c r="W21" s="79" t="s">
        <v>7109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7128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7069</v>
      </c>
      <c r="AN21" s="39" t="s">
        <v>739</v>
      </c>
      <c r="AO21" s="39" t="s">
        <v>80</v>
      </c>
      <c r="AP21" s="39" t="s">
        <v>7120</v>
      </c>
      <c r="AQ21" s="39" t="s">
        <v>7121</v>
      </c>
      <c r="AR21" s="39" t="s">
        <v>7121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7129</v>
      </c>
      <c r="B22" s="12" t="s">
        <v>7068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7069</v>
      </c>
      <c r="H22" s="39" t="s">
        <v>67</v>
      </c>
      <c r="I22" s="39"/>
      <c r="J22" s="112" t="s">
        <v>7130</v>
      </c>
      <c r="K22" s="39"/>
      <c r="L22" s="56"/>
      <c r="M22" s="75" t="s">
        <v>68</v>
      </c>
      <c r="N22" s="39" t="s">
        <v>7094</v>
      </c>
      <c r="O22" s="39" t="s">
        <v>7095</v>
      </c>
      <c r="P22" s="39" t="s">
        <v>7096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7131</v>
      </c>
      <c r="W22" s="79" t="s">
        <v>7109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7132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7069</v>
      </c>
      <c r="AN22" s="39" t="s">
        <v>739</v>
      </c>
      <c r="AO22" s="39" t="s">
        <v>80</v>
      </c>
      <c r="AP22" s="39" t="s">
        <v>7120</v>
      </c>
      <c r="AQ22" s="39" t="s">
        <v>7121</v>
      </c>
      <c r="AR22" s="39" t="s">
        <v>7121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7133</v>
      </c>
      <c r="B23" s="12" t="s">
        <v>7068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7069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7094</v>
      </c>
      <c r="O23" s="39" t="s">
        <v>7095</v>
      </c>
      <c r="P23" s="39" t="s">
        <v>7096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7131</v>
      </c>
      <c r="W23" s="707" t="s">
        <v>7109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7132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7069</v>
      </c>
      <c r="AN23" s="39" t="s">
        <v>739</v>
      </c>
      <c r="AO23" s="39" t="s">
        <v>80</v>
      </c>
      <c r="AP23" s="39" t="s">
        <v>7120</v>
      </c>
      <c r="AQ23" s="39" t="s">
        <v>7121</v>
      </c>
      <c r="AR23" s="39" t="s">
        <v>7121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7134</v>
      </c>
      <c r="B24" s="12" t="s">
        <v>7068</v>
      </c>
      <c r="C24" s="82" t="str">
        <f>IFERROR(LEFT(ESS_DATA[[#This Row],[TCL REFERENCE]],FIND(".",ESS_DATA[[#This Row],[TCL REFERENCE]],1)-1),"Main Line")</f>
        <v>Main Line</v>
      </c>
      <c r="D24" s="31" t="s">
        <v>7135</v>
      </c>
      <c r="E24" s="160" t="s">
        <v>144</v>
      </c>
      <c r="F24" s="160" t="s">
        <v>68</v>
      </c>
      <c r="G24" s="82" t="s">
        <v>68</v>
      </c>
      <c r="H24" s="82" t="s">
        <v>7136</v>
      </c>
      <c r="I24" s="82"/>
      <c r="J24" s="39" t="s">
        <v>7137</v>
      </c>
      <c r="K24" s="82"/>
      <c r="L24" s="79"/>
      <c r="M24" s="218" t="s">
        <v>840</v>
      </c>
      <c r="N24" s="82" t="s">
        <v>7088</v>
      </c>
      <c r="O24" s="82" t="s">
        <v>7083</v>
      </c>
      <c r="P24" s="82" t="s">
        <v>7089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7138</v>
      </c>
      <c r="W24" s="82" t="s">
        <v>7109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5772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7111</v>
      </c>
      <c r="AO24" s="162" t="s">
        <v>161</v>
      </c>
      <c r="AP24" s="162" t="s">
        <v>7139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7140</v>
      </c>
      <c r="B25" s="12" t="s">
        <v>7068</v>
      </c>
      <c r="C25" s="82" t="str">
        <f>IFERROR(LEFT(ESS_DATA[[#This Row],[TCL REFERENCE]],FIND(".",ESS_DATA[[#This Row],[TCL REFERENCE]],1)-1),"Main Line")</f>
        <v>Main Line</v>
      </c>
      <c r="D25" s="31" t="s">
        <v>7135</v>
      </c>
      <c r="E25" s="160" t="s">
        <v>144</v>
      </c>
      <c r="F25" s="160" t="s">
        <v>68</v>
      </c>
      <c r="G25" s="82" t="s">
        <v>68</v>
      </c>
      <c r="H25" s="82" t="s">
        <v>7136</v>
      </c>
      <c r="I25" s="82"/>
      <c r="J25" s="39" t="s">
        <v>7137</v>
      </c>
      <c r="K25" s="82"/>
      <c r="L25" s="79"/>
      <c r="M25" s="218" t="s">
        <v>840</v>
      </c>
      <c r="N25" s="82" t="s">
        <v>7141</v>
      </c>
      <c r="O25" s="82" t="s">
        <v>7095</v>
      </c>
      <c r="P25" s="82" t="s">
        <v>7096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7138</v>
      </c>
      <c r="W25" s="82" t="s">
        <v>7109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5772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7111</v>
      </c>
      <c r="AO25" s="162" t="s">
        <v>161</v>
      </c>
      <c r="AP25" s="162" t="s">
        <v>7139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7142</v>
      </c>
      <c r="B26" s="12" t="s">
        <v>7068</v>
      </c>
      <c r="C26" s="82" t="str">
        <f>IFERROR(LEFT(ESS_DATA[[#This Row],[TCL REFERENCE]],FIND(".",ESS_DATA[[#This Row],[TCL REFERENCE]],1)-1),"Main Line")</f>
        <v>Main Line</v>
      </c>
      <c r="D26" s="31" t="s">
        <v>7135</v>
      </c>
      <c r="E26" s="160" t="s">
        <v>144</v>
      </c>
      <c r="F26" s="160" t="s">
        <v>68</v>
      </c>
      <c r="G26" s="82" t="s">
        <v>68</v>
      </c>
      <c r="H26" s="82" t="s">
        <v>7136</v>
      </c>
      <c r="I26" s="82"/>
      <c r="J26" s="39" t="s">
        <v>7137</v>
      </c>
      <c r="K26" s="82"/>
      <c r="L26" s="79"/>
      <c r="M26" s="218" t="s">
        <v>840</v>
      </c>
      <c r="N26" s="82" t="s">
        <v>7143</v>
      </c>
      <c r="O26" s="82" t="s">
        <v>7106</v>
      </c>
      <c r="P26" s="82" t="s">
        <v>7107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7138</v>
      </c>
      <c r="W26" s="82" t="s">
        <v>7109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5772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7111</v>
      </c>
      <c r="AO26" s="162" t="s">
        <v>161</v>
      </c>
      <c r="AP26" s="162" t="s">
        <v>7139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7144</v>
      </c>
      <c r="B27" s="12" t="s">
        <v>7068</v>
      </c>
      <c r="C27" s="82" t="str">
        <f>IFERROR(LEFT(ESS_DATA[[#This Row],[TCL REFERENCE]],FIND(".",ESS_DATA[[#This Row],[TCL REFERENCE]],1)-1),"Main Line")</f>
        <v>25DEC001</v>
      </c>
      <c r="D27" s="31" t="s">
        <v>7135</v>
      </c>
      <c r="E27" s="160" t="s">
        <v>144</v>
      </c>
      <c r="F27" s="160" t="s">
        <v>68</v>
      </c>
      <c r="G27" s="82" t="s">
        <v>68</v>
      </c>
      <c r="H27" s="82" t="s">
        <v>7136</v>
      </c>
      <c r="I27" s="82"/>
      <c r="J27" s="39" t="s">
        <v>7137</v>
      </c>
      <c r="K27" s="82"/>
      <c r="L27" s="79"/>
      <c r="M27" s="218" t="s">
        <v>840</v>
      </c>
      <c r="N27" s="82" t="s">
        <v>7105</v>
      </c>
      <c r="O27" s="82" t="s">
        <v>7106</v>
      </c>
      <c r="P27" s="82" t="s">
        <v>7107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7138</v>
      </c>
      <c r="W27" s="165" t="s">
        <v>7109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5772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7111</v>
      </c>
      <c r="AO27" s="162" t="s">
        <v>161</v>
      </c>
      <c r="AP27" s="162" t="s">
        <v>7139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7145</v>
      </c>
      <c r="B28" s="12" t="s">
        <v>7068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7105</v>
      </c>
      <c r="O28" s="31" t="s">
        <v>7106</v>
      </c>
      <c r="P28" s="31" t="s">
        <v>7107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7108</v>
      </c>
      <c r="W28" s="82" t="s">
        <v>7109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7146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7069</v>
      </c>
      <c r="AN28" s="31" t="s">
        <v>7147</v>
      </c>
      <c r="AO28" s="162" t="s">
        <v>161</v>
      </c>
      <c r="AP28" s="31" t="s">
        <v>7148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7149</v>
      </c>
      <c r="B29" s="12" t="s">
        <v>7068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7150</v>
      </c>
      <c r="K29" s="31"/>
      <c r="L29" s="34"/>
      <c r="M29" s="212" t="s">
        <v>68</v>
      </c>
      <c r="N29" s="31" t="s">
        <v>7105</v>
      </c>
      <c r="O29" s="31" t="s">
        <v>7106</v>
      </c>
      <c r="P29" s="31" t="s">
        <v>7107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7108</v>
      </c>
      <c r="W29" s="82" t="s">
        <v>7109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7146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7069</v>
      </c>
      <c r="AN29" s="31" t="s">
        <v>7147</v>
      </c>
      <c r="AO29" s="162" t="s">
        <v>161</v>
      </c>
      <c r="AP29" s="31" t="s">
        <v>7148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2" t="s">
        <v>7151</v>
      </c>
      <c r="B30" s="12" t="s">
        <v>7068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7152</v>
      </c>
      <c r="O30" s="603" t="s">
        <v>7106</v>
      </c>
      <c r="P30" s="603" t="s">
        <v>7107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7108</v>
      </c>
      <c r="W30" s="82" t="s">
        <v>7109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7146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7069</v>
      </c>
      <c r="AN30" s="31" t="s">
        <v>7147</v>
      </c>
      <c r="AO30" s="162" t="s">
        <v>161</v>
      </c>
      <c r="AP30" s="31" t="s">
        <v>7148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7153</v>
      </c>
      <c r="B31" s="12" t="s">
        <v>7068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7088</v>
      </c>
      <c r="O31" s="82" t="s">
        <v>7083</v>
      </c>
      <c r="P31" s="82" t="s">
        <v>7089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7108</v>
      </c>
      <c r="W31" s="82" t="s">
        <v>7109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7146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7069</v>
      </c>
      <c r="AN31" s="31" t="s">
        <v>7147</v>
      </c>
      <c r="AO31" s="162" t="s">
        <v>161</v>
      </c>
      <c r="AP31" s="31" t="s">
        <v>7148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7154</v>
      </c>
      <c r="B32" s="12" t="s">
        <v>7068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7094</v>
      </c>
      <c r="O32" s="82" t="s">
        <v>7095</v>
      </c>
      <c r="P32" s="82" t="s">
        <v>7096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7108</v>
      </c>
      <c r="W32" s="82" t="s">
        <v>7109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7146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7069</v>
      </c>
      <c r="AN32" s="31" t="s">
        <v>7147</v>
      </c>
      <c r="AO32" s="162" t="s">
        <v>161</v>
      </c>
      <c r="AP32" s="31" t="s">
        <v>7148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7068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7155</v>
      </c>
      <c r="K33" s="82"/>
      <c r="L33" s="79"/>
      <c r="M33" s="213" t="s">
        <v>68</v>
      </c>
      <c r="N33" s="178" t="s">
        <v>7156</v>
      </c>
      <c r="O33" s="82" t="s">
        <v>7157</v>
      </c>
      <c r="P33" s="82" t="s">
        <v>7158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7108</v>
      </c>
      <c r="W33" s="82" t="s">
        <v>7109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7146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7069</v>
      </c>
      <c r="AN33" s="31" t="s">
        <v>7147</v>
      </c>
      <c r="AO33" s="162" t="s">
        <v>161</v>
      </c>
      <c r="AP33" s="31" t="s">
        <v>7148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7068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7159</v>
      </c>
      <c r="K34" s="82"/>
      <c r="L34" s="79"/>
      <c r="M34" s="213" t="s">
        <v>68</v>
      </c>
      <c r="N34" s="147" t="s">
        <v>7160</v>
      </c>
      <c r="O34" s="147" t="s">
        <v>7161</v>
      </c>
      <c r="P34" s="147" t="s">
        <v>7162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7108</v>
      </c>
      <c r="W34" s="147" t="s">
        <v>7109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7146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7069</v>
      </c>
      <c r="AN34" s="12" t="s">
        <v>7147</v>
      </c>
      <c r="AO34" s="162" t="s">
        <v>161</v>
      </c>
      <c r="AP34" s="12" t="s">
        <v>7148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7068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7163</v>
      </c>
      <c r="K35" s="82"/>
      <c r="L35" s="79"/>
      <c r="M35" s="213" t="s">
        <v>68</v>
      </c>
      <c r="N35" s="147" t="s">
        <v>7164</v>
      </c>
      <c r="O35" s="147" t="s">
        <v>7165</v>
      </c>
      <c r="P35" s="147" t="s">
        <v>7166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7108</v>
      </c>
      <c r="W35" s="147" t="s">
        <v>7109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7146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7069</v>
      </c>
      <c r="AN35" s="12" t="s">
        <v>7147</v>
      </c>
      <c r="AO35" s="162" t="s">
        <v>161</v>
      </c>
      <c r="AP35" s="12" t="s">
        <v>7148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7167</v>
      </c>
      <c r="B36" s="12" t="s">
        <v>7068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7168</v>
      </c>
      <c r="K36" s="82"/>
      <c r="L36" s="79"/>
      <c r="M36" s="213" t="s">
        <v>68</v>
      </c>
      <c r="N36" s="147" t="s">
        <v>7078</v>
      </c>
      <c r="O36" s="147" t="s">
        <v>7169</v>
      </c>
      <c r="P36" s="147" t="s">
        <v>7080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7108</v>
      </c>
      <c r="W36" s="147" t="s">
        <v>7109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7146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7069</v>
      </c>
      <c r="AN36" s="12" t="s">
        <v>7147</v>
      </c>
      <c r="AO36" s="162" t="s">
        <v>161</v>
      </c>
      <c r="AP36" s="12" t="s">
        <v>7148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7068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7170</v>
      </c>
      <c r="K37" s="82"/>
      <c r="L37" s="79"/>
      <c r="M37" s="213" t="s">
        <v>68</v>
      </c>
      <c r="N37" s="147" t="s">
        <v>7171</v>
      </c>
      <c r="O37" s="147" t="s">
        <v>7172</v>
      </c>
      <c r="P37" s="147" t="s">
        <v>7173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7108</v>
      </c>
      <c r="W37" s="147" t="s">
        <v>7109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7146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7069</v>
      </c>
      <c r="AN37" s="12" t="s">
        <v>7147</v>
      </c>
      <c r="AO37" s="162" t="s">
        <v>161</v>
      </c>
      <c r="AP37" s="12" t="s">
        <v>7148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7068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7174</v>
      </c>
      <c r="K38" s="82"/>
      <c r="L38" s="79"/>
      <c r="M38" s="213" t="s">
        <v>68</v>
      </c>
      <c r="N38" s="147" t="s">
        <v>7175</v>
      </c>
      <c r="O38" s="147" t="s">
        <v>7176</v>
      </c>
      <c r="P38" s="147" t="s">
        <v>7177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7108</v>
      </c>
      <c r="W38" s="147" t="s">
        <v>7109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7146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7069</v>
      </c>
      <c r="AN38" s="12" t="s">
        <v>7147</v>
      </c>
      <c r="AO38" s="162" t="s">
        <v>161</v>
      </c>
      <c r="AP38" s="12" t="s">
        <v>7148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7068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7178</v>
      </c>
      <c r="K39" s="82"/>
      <c r="L39" s="79"/>
      <c r="M39" s="213" t="s">
        <v>68</v>
      </c>
      <c r="N39" s="178" t="s">
        <v>7179</v>
      </c>
      <c r="O39" s="147" t="s">
        <v>7180</v>
      </c>
      <c r="P39" s="147" t="s">
        <v>7181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7108</v>
      </c>
      <c r="W39" s="147" t="s">
        <v>7109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7146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7069</v>
      </c>
      <c r="AN39" s="12" t="s">
        <v>7147</v>
      </c>
      <c r="AO39" s="162" t="s">
        <v>161</v>
      </c>
      <c r="AP39" s="12" t="s">
        <v>7148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7182</v>
      </c>
      <c r="B40" s="12" t="s">
        <v>7068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7183</v>
      </c>
      <c r="K40" s="82"/>
      <c r="L40" s="79"/>
      <c r="M40" s="213" t="s">
        <v>68</v>
      </c>
      <c r="N40" s="147" t="s">
        <v>7184</v>
      </c>
      <c r="O40" s="147" t="s">
        <v>7185</v>
      </c>
      <c r="P40" s="147" t="s">
        <v>7186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7108</v>
      </c>
      <c r="W40" s="147" t="s">
        <v>7109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7146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7069</v>
      </c>
      <c r="AN40" s="12" t="s">
        <v>7147</v>
      </c>
      <c r="AO40" s="162" t="s">
        <v>161</v>
      </c>
      <c r="AP40" s="12" t="s">
        <v>7148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7187</v>
      </c>
      <c r="B41" s="12" t="s">
        <v>7068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7188</v>
      </c>
      <c r="K41" s="82"/>
      <c r="L41" s="79"/>
      <c r="M41" s="213" t="s">
        <v>68</v>
      </c>
      <c r="N41" s="147" t="s">
        <v>7189</v>
      </c>
      <c r="O41" s="147" t="s">
        <v>7190</v>
      </c>
      <c r="P41" s="147" t="s">
        <v>7191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7108</v>
      </c>
      <c r="W41" s="147" t="s">
        <v>7109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7146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7069</v>
      </c>
      <c r="AN41" s="12" t="s">
        <v>7147</v>
      </c>
      <c r="AO41" s="162" t="s">
        <v>161</v>
      </c>
      <c r="AP41" s="12" t="s">
        <v>7148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7192</v>
      </c>
      <c r="B42" s="12" t="s">
        <v>7068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7193</v>
      </c>
      <c r="K42" s="82"/>
      <c r="L42" s="79"/>
      <c r="M42" s="213" t="s">
        <v>68</v>
      </c>
      <c r="N42" s="147" t="s">
        <v>7194</v>
      </c>
      <c r="O42" s="147" t="s">
        <v>7195</v>
      </c>
      <c r="P42" s="147" t="s">
        <v>7196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7108</v>
      </c>
      <c r="W42" s="147" t="s">
        <v>7109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7146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7069</v>
      </c>
      <c r="AN42" s="12" t="s">
        <v>7147</v>
      </c>
      <c r="AO42" s="162" t="s">
        <v>161</v>
      </c>
      <c r="AP42" s="12" t="s">
        <v>7148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7197</v>
      </c>
      <c r="B43" s="12" t="s">
        <v>7068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7159</v>
      </c>
      <c r="K43" s="82"/>
      <c r="L43" s="79"/>
      <c r="M43" s="213" t="s">
        <v>68</v>
      </c>
      <c r="N43" s="147" t="s">
        <v>7198</v>
      </c>
      <c r="O43" s="147" t="s">
        <v>7199</v>
      </c>
      <c r="P43" s="147" t="s">
        <v>7200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7108</v>
      </c>
      <c r="W43" s="147" t="s">
        <v>7109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7146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7069</v>
      </c>
      <c r="AN43" s="12" t="s">
        <v>7147</v>
      </c>
      <c r="AO43" s="162" t="s">
        <v>161</v>
      </c>
      <c r="AP43" s="12" t="s">
        <v>7148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7201</v>
      </c>
      <c r="B44" s="12" t="s">
        <v>7068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7163</v>
      </c>
      <c r="K44" s="82"/>
      <c r="L44" s="79"/>
      <c r="M44" s="213" t="s">
        <v>68</v>
      </c>
      <c r="N44" s="147" t="s">
        <v>7202</v>
      </c>
      <c r="O44" s="147" t="s">
        <v>7203</v>
      </c>
      <c r="P44" s="147" t="s">
        <v>7204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7108</v>
      </c>
      <c r="W44" s="147" t="s">
        <v>7109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7146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7069</v>
      </c>
      <c r="AN44" s="12" t="s">
        <v>7147</v>
      </c>
      <c r="AO44" s="162" t="s">
        <v>161</v>
      </c>
      <c r="AP44" s="12" t="s">
        <v>7148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7205</v>
      </c>
      <c r="B45" s="12" t="s">
        <v>7068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7206</v>
      </c>
      <c r="K45" s="82"/>
      <c r="L45" s="79"/>
      <c r="M45" s="213" t="s">
        <v>68</v>
      </c>
      <c r="N45" s="147" t="s">
        <v>7070</v>
      </c>
      <c r="O45" s="147" t="s">
        <v>7207</v>
      </c>
      <c r="P45" s="147" t="s">
        <v>7072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7108</v>
      </c>
      <c r="W45" s="147" t="s">
        <v>7109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7146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7069</v>
      </c>
      <c r="AN45" s="12" t="s">
        <v>7147</v>
      </c>
      <c r="AO45" s="162" t="s">
        <v>161</v>
      </c>
      <c r="AP45" s="12" t="s">
        <v>7148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7208</v>
      </c>
      <c r="B46" s="12" t="s">
        <v>7068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7209</v>
      </c>
      <c r="K46" s="82"/>
      <c r="L46" s="79"/>
      <c r="M46" s="213" t="s">
        <v>68</v>
      </c>
      <c r="N46" s="147" t="s">
        <v>7210</v>
      </c>
      <c r="O46" s="147" t="s">
        <v>7211</v>
      </c>
      <c r="P46" s="147" t="s">
        <v>7212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7108</v>
      </c>
      <c r="W46" s="147" t="s">
        <v>7109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7146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7069</v>
      </c>
      <c r="AN46" s="12" t="s">
        <v>7147</v>
      </c>
      <c r="AO46" s="162" t="s">
        <v>161</v>
      </c>
      <c r="AP46" s="12" t="s">
        <v>7148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7213</v>
      </c>
      <c r="B47" s="12" t="s">
        <v>7068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7214</v>
      </c>
      <c r="K47" s="82"/>
      <c r="L47" s="79"/>
      <c r="M47" s="213" t="s">
        <v>68</v>
      </c>
      <c r="N47" s="147" t="s">
        <v>7215</v>
      </c>
      <c r="O47" s="147" t="s">
        <v>7216</v>
      </c>
      <c r="P47" s="147" t="s">
        <v>7217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7108</v>
      </c>
      <c r="W47" s="147" t="s">
        <v>7109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7146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7069</v>
      </c>
      <c r="AN47" s="12" t="s">
        <v>7147</v>
      </c>
      <c r="AO47" s="162" t="s">
        <v>161</v>
      </c>
      <c r="AP47" s="12" t="s">
        <v>7148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7218</v>
      </c>
      <c r="B48" s="12" t="s">
        <v>7068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7219</v>
      </c>
      <c r="K48" s="82"/>
      <c r="L48" s="79"/>
      <c r="M48" s="213" t="s">
        <v>68</v>
      </c>
      <c r="N48" s="147" t="s">
        <v>7220</v>
      </c>
      <c r="O48" s="147" t="s">
        <v>7221</v>
      </c>
      <c r="P48" s="147" t="s">
        <v>7222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7108</v>
      </c>
      <c r="W48" s="147" t="s">
        <v>7109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7146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7069</v>
      </c>
      <c r="AN48" s="12" t="s">
        <v>7147</v>
      </c>
      <c r="AO48" s="162" t="s">
        <v>161</v>
      </c>
      <c r="AP48" s="12" t="s">
        <v>7148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7223</v>
      </c>
      <c r="B49" s="12" t="s">
        <v>7068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7224</v>
      </c>
      <c r="K49" s="82"/>
      <c r="L49" s="79"/>
      <c r="M49" s="213" t="s">
        <v>68</v>
      </c>
      <c r="N49" s="147" t="s">
        <v>7225</v>
      </c>
      <c r="O49" s="147" t="s">
        <v>7226</v>
      </c>
      <c r="P49" s="147" t="s">
        <v>7227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7108</v>
      </c>
      <c r="W49" s="147" t="s">
        <v>7109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7146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7069</v>
      </c>
      <c r="AN49" s="12" t="s">
        <v>7147</v>
      </c>
      <c r="AO49" s="162" t="s">
        <v>161</v>
      </c>
      <c r="AP49" s="12" t="s">
        <v>7148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7228</v>
      </c>
      <c r="B50" s="229" t="s">
        <v>7229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7230</v>
      </c>
      <c r="K50" s="147"/>
      <c r="L50" s="117"/>
      <c r="M50" s="213" t="s">
        <v>840</v>
      </c>
      <c r="N50" s="147" t="s">
        <v>7231</v>
      </c>
      <c r="O50" s="147" t="s">
        <v>7232</v>
      </c>
      <c r="P50" s="147" t="s">
        <v>7233</v>
      </c>
      <c r="Q50" s="170"/>
      <c r="R50" s="215">
        <v>16</v>
      </c>
      <c r="S50" s="299"/>
      <c r="T50" s="147"/>
      <c r="U50" s="360">
        <v>1</v>
      </c>
      <c r="V50" s="709" t="s">
        <v>7108</v>
      </c>
      <c r="W50" s="147" t="s">
        <v>7109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7234</v>
      </c>
      <c r="AC50" s="147"/>
      <c r="AD50" s="147" t="s">
        <v>7235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7069</v>
      </c>
      <c r="AN50" s="278" t="s">
        <v>7236</v>
      </c>
      <c r="AO50" s="278" t="s">
        <v>161</v>
      </c>
      <c r="AP50" s="278" t="s">
        <v>7237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7238</v>
      </c>
      <c r="B51" s="165" t="s">
        <v>7239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7230</v>
      </c>
      <c r="K51" s="31"/>
      <c r="L51" s="268"/>
      <c r="M51" s="212" t="s">
        <v>68</v>
      </c>
      <c r="N51" s="31" t="s">
        <v>7070</v>
      </c>
      <c r="O51" s="82" t="s">
        <v>7240</v>
      </c>
      <c r="P51" s="31" t="s">
        <v>7072</v>
      </c>
      <c r="Q51" s="31"/>
      <c r="R51" s="163">
        <v>72</v>
      </c>
      <c r="S51" s="269"/>
      <c r="T51" s="31"/>
      <c r="U51" s="270">
        <v>7.0000000000000007E-2</v>
      </c>
      <c r="V51" s="368" t="s">
        <v>7241</v>
      </c>
      <c r="W51" s="191" t="s">
        <v>7242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7243</v>
      </c>
      <c r="AC51" s="31"/>
      <c r="AD51" s="160" t="s">
        <v>122</v>
      </c>
      <c r="AE51" s="31" t="s">
        <v>123</v>
      </c>
      <c r="AF51" s="31" t="s">
        <v>7244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7245</v>
      </c>
      <c r="AQ51" s="31" t="s">
        <v>7246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7247</v>
      </c>
      <c r="B52" s="31" t="s">
        <v>7229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7230</v>
      </c>
      <c r="K52" s="31"/>
      <c r="L52" s="268"/>
      <c r="M52" s="212" t="s">
        <v>68</v>
      </c>
      <c r="N52" s="82" t="s">
        <v>7231</v>
      </c>
      <c r="O52" s="82" t="s">
        <v>7232</v>
      </c>
      <c r="P52" s="82" t="s">
        <v>7233</v>
      </c>
      <c r="Q52" s="160"/>
      <c r="R52" s="163">
        <v>16</v>
      </c>
      <c r="S52" s="260"/>
      <c r="T52" s="82"/>
      <c r="U52" s="300">
        <v>1</v>
      </c>
      <c r="V52" s="367" t="s">
        <v>7108</v>
      </c>
      <c r="W52" s="31" t="s">
        <v>7248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7249</v>
      </c>
      <c r="AC52" s="31"/>
      <c r="AD52" s="31" t="s">
        <v>7235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7250</v>
      </c>
      <c r="AO52" s="162" t="s">
        <v>161</v>
      </c>
      <c r="AP52" s="30" t="s">
        <v>7251</v>
      </c>
      <c r="AQ52" s="31" t="s">
        <v>7252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7253</v>
      </c>
      <c r="B53" s="31" t="s">
        <v>7229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7230</v>
      </c>
      <c r="K53" s="31"/>
      <c r="L53" s="268"/>
      <c r="M53" s="212" t="s">
        <v>68</v>
      </c>
      <c r="N53" s="82" t="s">
        <v>7231</v>
      </c>
      <c r="O53" s="82" t="s">
        <v>7232</v>
      </c>
      <c r="P53" s="82" t="s">
        <v>7233</v>
      </c>
      <c r="Q53" s="165"/>
      <c r="R53" s="163">
        <v>16</v>
      </c>
      <c r="S53" s="260"/>
      <c r="T53" s="82"/>
      <c r="U53" s="300">
        <v>1</v>
      </c>
      <c r="V53" s="367" t="s">
        <v>7108</v>
      </c>
      <c r="W53" s="31" t="s">
        <v>7254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7255</v>
      </c>
      <c r="AC53" s="31"/>
      <c r="AD53" s="31" t="s">
        <v>7235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7256</v>
      </c>
      <c r="AO53" s="162" t="s">
        <v>161</v>
      </c>
      <c r="AP53" s="30" t="s">
        <v>7257</v>
      </c>
      <c r="AQ53" s="31" t="s">
        <v>7258</v>
      </c>
      <c r="AR53" s="31" t="s">
        <v>7258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32" t="s">
        <v>7259</v>
      </c>
      <c r="B54" s="1033" t="s">
        <v>7260</v>
      </c>
      <c r="C54" s="1033" t="str">
        <f>IFERROR(LEFT(ESS_DATA[[#This Row],[TCL REFERENCE]],FIND(".",ESS_DATA[[#This Row],[TCL REFERENCE]],1)-1),"Main Line")</f>
        <v>Main Line</v>
      </c>
      <c r="D54" s="1033"/>
      <c r="E54" s="1033" t="s">
        <v>68</v>
      </c>
      <c r="F54" s="1033" t="s">
        <v>68</v>
      </c>
      <c r="G54" s="1033"/>
      <c r="H54" s="41"/>
      <c r="I54" s="1033"/>
      <c r="J54" s="178" t="s">
        <v>7261</v>
      </c>
      <c r="K54" s="1033"/>
      <c r="L54" s="537"/>
      <c r="M54" s="225"/>
      <c r="N54" s="1033" t="s">
        <v>7262</v>
      </c>
      <c r="O54" s="178" t="s">
        <v>7083</v>
      </c>
      <c r="P54" s="1033" t="s">
        <v>7263</v>
      </c>
      <c r="Q54" s="1033"/>
      <c r="R54" s="492">
        <v>93</v>
      </c>
      <c r="S54" s="1034"/>
      <c r="T54" s="1033"/>
      <c r="U54" s="1035">
        <f>1/192*R54</f>
        <v>0.484375</v>
      </c>
      <c r="V54" s="1036" t="s">
        <v>7108</v>
      </c>
      <c r="W54" s="1033" t="s">
        <v>68</v>
      </c>
      <c r="X54" s="1033" t="str">
        <f t="shared" si="1"/>
        <v>COMPLETED</v>
      </c>
      <c r="Y54" s="1037"/>
      <c r="Z54" s="1038">
        <v>46174</v>
      </c>
      <c r="AA54" s="1039">
        <f>WEEKNUM(ESS_DATA[[#This Row],[Pick-Up Date]])</f>
        <v>23</v>
      </c>
      <c r="AB54" s="1033" t="s">
        <v>7264</v>
      </c>
      <c r="AC54" s="1033"/>
      <c r="AD54" s="1033" t="s">
        <v>122</v>
      </c>
      <c r="AE54" s="1033" t="s">
        <v>123</v>
      </c>
      <c r="AF54" s="1033" t="s">
        <v>946</v>
      </c>
      <c r="AG54" s="1038">
        <v>46179</v>
      </c>
      <c r="AH54" s="1038">
        <v>46186</v>
      </c>
      <c r="AI54" s="1038">
        <v>46185</v>
      </c>
      <c r="AJ54" s="1038">
        <v>46186</v>
      </c>
      <c r="AK54" s="1038">
        <v>46194</v>
      </c>
      <c r="AL54" s="1038">
        <v>46195</v>
      </c>
      <c r="AM54" s="531" t="s">
        <v>402</v>
      </c>
      <c r="AN54" s="1038" t="s">
        <v>7265</v>
      </c>
      <c r="AO54" s="1038" t="s">
        <v>161</v>
      </c>
      <c r="AP54" s="1038" t="s">
        <v>7266</v>
      </c>
      <c r="AQ54" s="1033">
        <v>802143373</v>
      </c>
      <c r="AR54" s="1033">
        <v>802143373</v>
      </c>
      <c r="AS54" s="1033">
        <f>ESS_DATA[[#This Row],[ETA On S/O]]-ESS_DATA[[#This Row],[ETD On S/O]]+1</f>
        <v>8</v>
      </c>
      <c r="AT54" s="103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32" t="s">
        <v>7267</v>
      </c>
      <c r="B55" s="1033" t="s">
        <v>7260</v>
      </c>
      <c r="C55" s="1033" t="str">
        <f>IFERROR(LEFT(ESS_DATA[[#This Row],[TCL REFERENCE]],FIND(".",ESS_DATA[[#This Row],[TCL REFERENCE]],1)-1),"Main Line")</f>
        <v>26FEB002</v>
      </c>
      <c r="D55" s="1033"/>
      <c r="E55" s="1033" t="s">
        <v>68</v>
      </c>
      <c r="F55" s="1033" t="s">
        <v>68</v>
      </c>
      <c r="G55" s="1033"/>
      <c r="H55" s="41"/>
      <c r="I55" s="1033"/>
      <c r="J55" s="178" t="s">
        <v>7261</v>
      </c>
      <c r="K55" s="1033"/>
      <c r="L55" s="537"/>
      <c r="M55" s="225"/>
      <c r="N55" s="1033" t="s">
        <v>7262</v>
      </c>
      <c r="O55" s="178" t="s">
        <v>7083</v>
      </c>
      <c r="P55" s="41" t="s">
        <v>7263</v>
      </c>
      <c r="Q55" s="41"/>
      <c r="R55" s="492">
        <v>3</v>
      </c>
      <c r="S55" s="1034"/>
      <c r="T55" s="1033"/>
      <c r="U55" s="1035">
        <f>1/192*R55</f>
        <v>1.5625E-2</v>
      </c>
      <c r="V55" s="1036" t="s">
        <v>7108</v>
      </c>
      <c r="W55" s="1033" t="s">
        <v>68</v>
      </c>
      <c r="X55" s="1033" t="str">
        <f t="shared" si="1"/>
        <v>COMPLETED</v>
      </c>
      <c r="Y55" s="1037"/>
      <c r="Z55" s="1038">
        <v>46174</v>
      </c>
      <c r="AA55" s="1039">
        <f>WEEKNUM(ESS_DATA[[#This Row],[Pick-Up Date]])</f>
        <v>23</v>
      </c>
      <c r="AB55" s="1033" t="s">
        <v>7264</v>
      </c>
      <c r="AC55" s="1033"/>
      <c r="AD55" s="1033" t="s">
        <v>122</v>
      </c>
      <c r="AE55" s="1033" t="s">
        <v>123</v>
      </c>
      <c r="AF55" s="1033" t="s">
        <v>946</v>
      </c>
      <c r="AG55" s="1038">
        <v>46179</v>
      </c>
      <c r="AH55" s="1038">
        <v>46186</v>
      </c>
      <c r="AI55" s="1038">
        <v>46185</v>
      </c>
      <c r="AJ55" s="1038">
        <v>46186</v>
      </c>
      <c r="AK55" s="1038">
        <v>46194</v>
      </c>
      <c r="AL55" s="1038">
        <v>46195</v>
      </c>
      <c r="AM55" s="531" t="s">
        <v>402</v>
      </c>
      <c r="AN55" s="1038" t="s">
        <v>7265</v>
      </c>
      <c r="AO55" s="1038" t="s">
        <v>161</v>
      </c>
      <c r="AP55" s="1038" t="s">
        <v>7266</v>
      </c>
      <c r="AQ55" s="1033">
        <v>802143373</v>
      </c>
      <c r="AR55" s="1033">
        <v>802143373</v>
      </c>
      <c r="AS55" s="1033">
        <f>ESS_DATA[[#This Row],[ETA On S/O]]-ESS_DATA[[#This Row],[ETD On S/O]]+1</f>
        <v>8</v>
      </c>
      <c r="AT55" s="103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32" t="s">
        <v>7268</v>
      </c>
      <c r="B56" s="1033" t="s">
        <v>7260</v>
      </c>
      <c r="C56" s="1033" t="str">
        <f>IFERROR(LEFT(ESS_DATA[[#This Row],[TCL REFERENCE]],FIND(".",ESS_DATA[[#This Row],[TCL REFERENCE]],1)-1),"Main Line")</f>
        <v>Main Line</v>
      </c>
      <c r="D56" s="1033"/>
      <c r="E56" s="1033" t="s">
        <v>68</v>
      </c>
      <c r="F56" s="1033" t="s">
        <v>68</v>
      </c>
      <c r="G56" s="1033"/>
      <c r="H56" s="41"/>
      <c r="I56" s="1033"/>
      <c r="J56" s="178" t="s">
        <v>7261</v>
      </c>
      <c r="K56" s="1033"/>
      <c r="L56" s="537"/>
      <c r="M56" s="225"/>
      <c r="N56" s="1033" t="s">
        <v>7269</v>
      </c>
      <c r="O56" s="1033" t="s">
        <v>7106</v>
      </c>
      <c r="P56" s="178" t="s">
        <v>7270</v>
      </c>
      <c r="Q56" s="1040"/>
      <c r="R56" s="1041">
        <v>93</v>
      </c>
      <c r="S56" s="1034"/>
      <c r="T56" s="1033"/>
      <c r="U56" s="1035">
        <f>1/192*R56</f>
        <v>0.484375</v>
      </c>
      <c r="V56" s="1036" t="s">
        <v>7108</v>
      </c>
      <c r="W56" s="1033" t="s">
        <v>68</v>
      </c>
      <c r="X56" s="1033" t="str">
        <f t="shared" si="1"/>
        <v>COMPLETED</v>
      </c>
      <c r="Y56" s="1037"/>
      <c r="Z56" s="1038">
        <v>46174</v>
      </c>
      <c r="AA56" s="1039">
        <f>WEEKNUM(ESS_DATA[[#This Row],[Pick-Up Date]])</f>
        <v>23</v>
      </c>
      <c r="AB56" s="1033" t="s">
        <v>7264</v>
      </c>
      <c r="AC56" s="1033"/>
      <c r="AD56" s="1033" t="s">
        <v>122</v>
      </c>
      <c r="AE56" s="1033" t="s">
        <v>123</v>
      </c>
      <c r="AF56" s="1033" t="s">
        <v>946</v>
      </c>
      <c r="AG56" s="1038">
        <v>46179</v>
      </c>
      <c r="AH56" s="1038">
        <v>46186</v>
      </c>
      <c r="AI56" s="1038">
        <v>46185</v>
      </c>
      <c r="AJ56" s="1038">
        <v>46186</v>
      </c>
      <c r="AK56" s="1038">
        <v>46194</v>
      </c>
      <c r="AL56" s="1038">
        <v>46195</v>
      </c>
      <c r="AM56" s="531" t="s">
        <v>402</v>
      </c>
      <c r="AN56" s="1038" t="s">
        <v>7265</v>
      </c>
      <c r="AO56" s="1038" t="s">
        <v>161</v>
      </c>
      <c r="AP56" s="1038" t="s">
        <v>7266</v>
      </c>
      <c r="AQ56" s="1033">
        <v>802143373</v>
      </c>
      <c r="AR56" s="1033">
        <v>802143373</v>
      </c>
      <c r="AS56" s="1033">
        <f>ESS_DATA[[#This Row],[ETA On S/O]]-ESS_DATA[[#This Row],[ETD On S/O]]+1</f>
        <v>8</v>
      </c>
      <c r="AT56" s="103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7271</v>
      </c>
      <c r="B57" s="1033" t="s">
        <v>7260</v>
      </c>
      <c r="C57" s="41" t="str">
        <f>IFERROR(LEFT(ESS_DATA[[#This Row],[TCL REFERENCE]],FIND(".",ESS_DATA[[#This Row],[TCL REFERENCE]],1)-1),"Main Line")</f>
        <v>26FEB003</v>
      </c>
      <c r="D57" s="41"/>
      <c r="E57" s="1033" t="s">
        <v>68</v>
      </c>
      <c r="F57" s="1033" t="s">
        <v>68</v>
      </c>
      <c r="G57" s="41"/>
      <c r="H57" s="41"/>
      <c r="I57" s="41"/>
      <c r="J57" s="178" t="s">
        <v>7261</v>
      </c>
      <c r="K57" s="41"/>
      <c r="L57" s="537"/>
      <c r="M57" s="225"/>
      <c r="N57" s="41" t="s">
        <v>7269</v>
      </c>
      <c r="O57" s="178" t="s">
        <v>7106</v>
      </c>
      <c r="P57" s="219" t="s">
        <v>7270</v>
      </c>
      <c r="Q57" s="219"/>
      <c r="R57" s="492">
        <v>3</v>
      </c>
      <c r="S57" s="497"/>
      <c r="T57" s="41"/>
      <c r="U57" s="493">
        <f>1/192*R57</f>
        <v>1.5625E-2</v>
      </c>
      <c r="V57" s="1036" t="s">
        <v>7108</v>
      </c>
      <c r="W57" s="41" t="s">
        <v>68</v>
      </c>
      <c r="X57" s="41" t="str">
        <f t="shared" si="1"/>
        <v>COMPLETED</v>
      </c>
      <c r="Y57" s="173"/>
      <c r="Z57" s="1038">
        <v>46174</v>
      </c>
      <c r="AA57" s="494">
        <f>WEEKNUM(ESS_DATA[[#This Row],[Pick-Up Date]])</f>
        <v>23</v>
      </c>
      <c r="AB57" s="41" t="s">
        <v>7264</v>
      </c>
      <c r="AC57" s="41"/>
      <c r="AD57" s="41" t="s">
        <v>122</v>
      </c>
      <c r="AE57" s="41" t="s">
        <v>123</v>
      </c>
      <c r="AF57" s="1033" t="s">
        <v>946</v>
      </c>
      <c r="AG57" s="1038">
        <v>46179</v>
      </c>
      <c r="AH57" s="1038">
        <v>46186</v>
      </c>
      <c r="AI57" s="1038">
        <v>46185</v>
      </c>
      <c r="AJ57" s="1038">
        <v>46186</v>
      </c>
      <c r="AK57" s="1038">
        <v>46194</v>
      </c>
      <c r="AL57" s="1038">
        <v>46195</v>
      </c>
      <c r="AM57" s="1042" t="s">
        <v>402</v>
      </c>
      <c r="AN57" s="1038" t="s">
        <v>7265</v>
      </c>
      <c r="AO57" s="1038" t="s">
        <v>161</v>
      </c>
      <c r="AP57" s="1038" t="s">
        <v>7266</v>
      </c>
      <c r="AQ57" s="1033">
        <v>802143373</v>
      </c>
      <c r="AR57" s="103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7272</v>
      </c>
      <c r="B58" s="549" t="s">
        <v>7229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7273</v>
      </c>
      <c r="I58" s="548"/>
      <c r="J58" s="548" t="s">
        <v>949</v>
      </c>
      <c r="K58" s="548"/>
      <c r="L58" s="552"/>
      <c r="M58" s="553"/>
      <c r="N58" s="743" t="s">
        <v>7274</v>
      </c>
      <c r="O58" s="743" t="s">
        <v>7232</v>
      </c>
      <c r="P58" s="743" t="s">
        <v>7233</v>
      </c>
      <c r="Q58" s="756"/>
      <c r="R58" s="744">
        <v>8</v>
      </c>
      <c r="S58" s="555"/>
      <c r="T58" s="548"/>
      <c r="U58" s="757">
        <v>1</v>
      </c>
      <c r="V58" s="758" t="s">
        <v>7138</v>
      </c>
      <c r="W58" s="743" t="s">
        <v>7275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7243</v>
      </c>
      <c r="AC58" s="548"/>
      <c r="AD58" s="743" t="s">
        <v>7276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7277</v>
      </c>
      <c r="AO58" s="742" t="s">
        <v>161</v>
      </c>
      <c r="AP58" s="742" t="s">
        <v>7278</v>
      </c>
      <c r="AQ58" s="743" t="s">
        <v>7279</v>
      </c>
      <c r="AR58" s="743" t="s">
        <v>7279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.5">
      <c r="A59" s="562" t="s">
        <v>7280</v>
      </c>
      <c r="B59" s="548" t="s">
        <v>7239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7281</v>
      </c>
      <c r="K59" s="550"/>
      <c r="L59" s="563"/>
      <c r="M59" s="553" t="s">
        <v>68</v>
      </c>
      <c r="N59" s="550" t="s">
        <v>7082</v>
      </c>
      <c r="O59" s="548" t="s">
        <v>7083</v>
      </c>
      <c r="P59" s="550" t="s">
        <v>7084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7108</v>
      </c>
      <c r="W59" s="567" t="s">
        <v>7254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7282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7283</v>
      </c>
      <c r="AO59" s="560" t="s">
        <v>161</v>
      </c>
      <c r="AP59" s="560" t="s">
        <v>7284</v>
      </c>
      <c r="AQ59" s="550" t="s">
        <v>7285</v>
      </c>
      <c r="AR59" s="550" t="s">
        <v>7286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.5">
      <c r="A60" s="551" t="s">
        <v>7287</v>
      </c>
      <c r="B60" s="548" t="s">
        <v>7239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7281</v>
      </c>
      <c r="K60" s="548"/>
      <c r="L60" s="552"/>
      <c r="M60" s="553" t="s">
        <v>68</v>
      </c>
      <c r="N60" s="572" t="s">
        <v>7088</v>
      </c>
      <c r="O60" s="548" t="s">
        <v>7083</v>
      </c>
      <c r="P60" s="548" t="s">
        <v>7089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7108</v>
      </c>
      <c r="W60" s="548" t="s">
        <v>7254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7282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7283</v>
      </c>
      <c r="AO60" s="560" t="s">
        <v>161</v>
      </c>
      <c r="AP60" s="560" t="s">
        <v>7284</v>
      </c>
      <c r="AQ60" s="550" t="s">
        <v>7285</v>
      </c>
      <c r="AR60" s="550" t="s">
        <v>7286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.5">
      <c r="A61" s="562" t="s">
        <v>7288</v>
      </c>
      <c r="B61" s="548" t="s">
        <v>7239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7281</v>
      </c>
      <c r="K61" s="550"/>
      <c r="L61" s="563"/>
      <c r="M61" s="553" t="s">
        <v>68</v>
      </c>
      <c r="N61" s="550" t="s">
        <v>7091</v>
      </c>
      <c r="O61" s="548" t="s">
        <v>7083</v>
      </c>
      <c r="P61" s="550" t="s">
        <v>7092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7108</v>
      </c>
      <c r="W61" s="548" t="s">
        <v>7254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7282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7283</v>
      </c>
      <c r="AO61" s="560" t="s">
        <v>161</v>
      </c>
      <c r="AP61" s="560" t="s">
        <v>7284</v>
      </c>
      <c r="AQ61" s="550" t="s">
        <v>7285</v>
      </c>
      <c r="AR61" s="550" t="s">
        <v>7286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.5">
      <c r="A62" s="562" t="s">
        <v>7289</v>
      </c>
      <c r="B62" s="548" t="s">
        <v>7239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7281</v>
      </c>
      <c r="K62" s="550"/>
      <c r="L62" s="563"/>
      <c r="M62" s="553" t="s">
        <v>68</v>
      </c>
      <c r="N62" s="550" t="s">
        <v>7091</v>
      </c>
      <c r="O62" s="548" t="s">
        <v>7083</v>
      </c>
      <c r="P62" s="550" t="s">
        <v>7092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7108</v>
      </c>
      <c r="W62" s="548" t="s">
        <v>7254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7282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7283</v>
      </c>
      <c r="AO62" s="560" t="s">
        <v>161</v>
      </c>
      <c r="AP62" s="560" t="s">
        <v>7284</v>
      </c>
      <c r="AQ62" s="550" t="s">
        <v>7285</v>
      </c>
      <c r="AR62" s="550" t="s">
        <v>7286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.5">
      <c r="A63" s="562" t="s">
        <v>7290</v>
      </c>
      <c r="B63" s="548" t="s">
        <v>7239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7281</v>
      </c>
      <c r="K63" s="550"/>
      <c r="L63" s="563"/>
      <c r="M63" s="553" t="s">
        <v>68</v>
      </c>
      <c r="N63" s="550" t="s">
        <v>7094</v>
      </c>
      <c r="O63" s="548" t="s">
        <v>7291</v>
      </c>
      <c r="P63" s="550" t="s">
        <v>7096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7108</v>
      </c>
      <c r="W63" s="548" t="s">
        <v>7254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7282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7283</v>
      </c>
      <c r="AO63" s="560" t="s">
        <v>161</v>
      </c>
      <c r="AP63" s="560" t="s">
        <v>7284</v>
      </c>
      <c r="AQ63" s="550" t="s">
        <v>7285</v>
      </c>
      <c r="AR63" s="550" t="s">
        <v>7286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.5">
      <c r="A64" s="562" t="s">
        <v>7292</v>
      </c>
      <c r="B64" s="548" t="s">
        <v>7239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7281</v>
      </c>
      <c r="K64" s="550"/>
      <c r="L64" s="563"/>
      <c r="M64" s="553" t="s">
        <v>68</v>
      </c>
      <c r="N64" s="576" t="s">
        <v>7141</v>
      </c>
      <c r="O64" s="548" t="s">
        <v>7095</v>
      </c>
      <c r="P64" s="550" t="s">
        <v>7096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7108</v>
      </c>
      <c r="W64" s="548" t="s">
        <v>7254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7282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7283</v>
      </c>
      <c r="AO64" s="560" t="s">
        <v>161</v>
      </c>
      <c r="AP64" s="560" t="s">
        <v>7284</v>
      </c>
      <c r="AQ64" s="550" t="s">
        <v>7285</v>
      </c>
      <c r="AR64" s="550" t="s">
        <v>7286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.5">
      <c r="A65" s="562" t="s">
        <v>7293</v>
      </c>
      <c r="B65" s="559" t="s">
        <v>7239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7281</v>
      </c>
      <c r="K65" s="550"/>
      <c r="L65" s="563"/>
      <c r="M65" s="553" t="s">
        <v>68</v>
      </c>
      <c r="N65" s="550" t="s">
        <v>7070</v>
      </c>
      <c r="O65" s="548" t="s">
        <v>7240</v>
      </c>
      <c r="P65" s="550" t="s">
        <v>7072</v>
      </c>
      <c r="Q65" s="550"/>
      <c r="R65" s="554">
        <v>78</v>
      </c>
      <c r="S65" s="564"/>
      <c r="T65" s="550"/>
      <c r="U65" s="556">
        <v>7.0000000000000007E-2</v>
      </c>
      <c r="V65" s="577" t="s">
        <v>7108</v>
      </c>
      <c r="W65" s="567" t="s">
        <v>7254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7282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7283</v>
      </c>
      <c r="AO65" s="560" t="s">
        <v>161</v>
      </c>
      <c r="AP65" s="560" t="s">
        <v>7284</v>
      </c>
      <c r="AQ65" s="550" t="s">
        <v>7285</v>
      </c>
      <c r="AR65" s="550" t="s">
        <v>7286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.5">
      <c r="A66" s="562" t="s">
        <v>7294</v>
      </c>
      <c r="B66" s="548" t="s">
        <v>7239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7281</v>
      </c>
      <c r="K66" s="550"/>
      <c r="L66" s="563"/>
      <c r="M66" s="553" t="s">
        <v>68</v>
      </c>
      <c r="N66" s="550" t="s">
        <v>7082</v>
      </c>
      <c r="O66" s="548" t="s">
        <v>7083</v>
      </c>
      <c r="P66" s="550" t="s">
        <v>7084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7114</v>
      </c>
      <c r="W66" s="550" t="s">
        <v>7295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7296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7297</v>
      </c>
      <c r="AQ66" s="550" t="s">
        <v>7298</v>
      </c>
      <c r="AR66" s="550" t="s">
        <v>7298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.5">
      <c r="A67" s="562" t="s">
        <v>7299</v>
      </c>
      <c r="B67" s="548" t="s">
        <v>7239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7281</v>
      </c>
      <c r="K67" s="550"/>
      <c r="L67" s="563"/>
      <c r="M67" s="553" t="s">
        <v>68</v>
      </c>
      <c r="N67" s="550" t="s">
        <v>7082</v>
      </c>
      <c r="O67" s="548" t="s">
        <v>7083</v>
      </c>
      <c r="P67" s="550" t="s">
        <v>7084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7114</v>
      </c>
      <c r="W67" s="550" t="s">
        <v>7295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7296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7297</v>
      </c>
      <c r="AQ67" s="550" t="s">
        <v>7298</v>
      </c>
      <c r="AR67" s="550" t="s">
        <v>7298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.5">
      <c r="A68" s="562" t="s">
        <v>7300</v>
      </c>
      <c r="B68" s="548" t="s">
        <v>7239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7281</v>
      </c>
      <c r="K68" s="550"/>
      <c r="L68" s="563"/>
      <c r="M68" s="553" t="s">
        <v>68</v>
      </c>
      <c r="N68" s="550" t="s">
        <v>7094</v>
      </c>
      <c r="O68" s="548" t="s">
        <v>7291</v>
      </c>
      <c r="P68" s="550" t="s">
        <v>7096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7118</v>
      </c>
      <c r="W68" s="550" t="s">
        <v>7295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7296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7297</v>
      </c>
      <c r="AQ68" s="550" t="s">
        <v>7298</v>
      </c>
      <c r="AR68" s="550" t="s">
        <v>7298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.5">
      <c r="A69" s="562" t="s">
        <v>7301</v>
      </c>
      <c r="B69" s="548" t="s">
        <v>7239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7281</v>
      </c>
      <c r="K69" s="550"/>
      <c r="L69" s="563"/>
      <c r="M69" s="553" t="s">
        <v>68</v>
      </c>
      <c r="N69" s="550" t="s">
        <v>7094</v>
      </c>
      <c r="O69" s="548" t="s">
        <v>7291</v>
      </c>
      <c r="P69" s="550" t="s">
        <v>7096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7118</v>
      </c>
      <c r="W69" s="551" t="s">
        <v>7295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7296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7297</v>
      </c>
      <c r="AQ69" s="550" t="s">
        <v>7298</v>
      </c>
      <c r="AR69" s="550" t="s">
        <v>7298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.5">
      <c r="A70" s="562" t="s">
        <v>7302</v>
      </c>
      <c r="B70" s="548" t="s">
        <v>7239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7281</v>
      </c>
      <c r="K70" s="550"/>
      <c r="L70" s="563"/>
      <c r="M70" s="553" t="s">
        <v>68</v>
      </c>
      <c r="N70" s="550" t="s">
        <v>7105</v>
      </c>
      <c r="O70" s="548" t="s">
        <v>7303</v>
      </c>
      <c r="P70" s="550" t="s">
        <v>7107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7304</v>
      </c>
      <c r="W70" s="551" t="s">
        <v>7254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7305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7306</v>
      </c>
      <c r="AO70" s="560" t="s">
        <v>161</v>
      </c>
      <c r="AP70" s="560" t="s">
        <v>7307</v>
      </c>
      <c r="AQ70" s="550" t="s">
        <v>7308</v>
      </c>
      <c r="AR70" s="550" t="s">
        <v>7309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.5">
      <c r="A71" s="562" t="s">
        <v>7310</v>
      </c>
      <c r="B71" s="548" t="s">
        <v>7239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7281</v>
      </c>
      <c r="K71" s="550"/>
      <c r="L71" s="563"/>
      <c r="M71" s="553" t="s">
        <v>68</v>
      </c>
      <c r="N71" s="550" t="s">
        <v>7105</v>
      </c>
      <c r="O71" s="548" t="s">
        <v>7303</v>
      </c>
      <c r="P71" s="550" t="s">
        <v>7107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7311</v>
      </c>
      <c r="W71" s="584" t="s">
        <v>7295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7305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7306</v>
      </c>
      <c r="AO71" s="560" t="s">
        <v>161</v>
      </c>
      <c r="AP71" s="560" t="s">
        <v>7312</v>
      </c>
      <c r="AQ71" s="550" t="s">
        <v>7313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.5">
      <c r="A72" s="562" t="s">
        <v>7314</v>
      </c>
      <c r="B72" s="548" t="s">
        <v>7239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7281</v>
      </c>
      <c r="K72" s="550"/>
      <c r="L72" s="563"/>
      <c r="M72" s="553" t="s">
        <v>68</v>
      </c>
      <c r="N72" s="550" t="s">
        <v>7105</v>
      </c>
      <c r="O72" s="548" t="s">
        <v>7303</v>
      </c>
      <c r="P72" s="550" t="s">
        <v>7107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7311</v>
      </c>
      <c r="W72" s="550" t="s">
        <v>7295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7305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7306</v>
      </c>
      <c r="AO72" s="560" t="s">
        <v>161</v>
      </c>
      <c r="AP72" s="560" t="s">
        <v>7312</v>
      </c>
      <c r="AQ72" s="550" t="s">
        <v>7313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>
      <c r="A73" s="312" t="s">
        <v>7315</v>
      </c>
      <c r="B73" s="313" t="s">
        <v>7239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7281</v>
      </c>
      <c r="K73" s="314"/>
      <c r="L73" s="315"/>
      <c r="M73" s="316" t="s">
        <v>68</v>
      </c>
      <c r="N73" s="314" t="s">
        <v>7082</v>
      </c>
      <c r="O73" s="317" t="s">
        <v>7083</v>
      </c>
      <c r="P73" s="382" t="s">
        <v>7084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7108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7316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4747</v>
      </c>
      <c r="AO73" s="321" t="s">
        <v>80</v>
      </c>
      <c r="AP73" s="321" t="s">
        <v>7317</v>
      </c>
      <c r="AQ73" s="314" t="s">
        <v>7318</v>
      </c>
      <c r="AR73" s="314" t="s">
        <v>7318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7319</v>
      </c>
      <c r="B74" s="313" t="s">
        <v>7239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7281</v>
      </c>
      <c r="K74" s="314"/>
      <c r="L74" s="315"/>
      <c r="M74" s="316" t="s">
        <v>68</v>
      </c>
      <c r="N74" s="314" t="s">
        <v>7082</v>
      </c>
      <c r="O74" s="317" t="s">
        <v>7083</v>
      </c>
      <c r="P74" s="382" t="s">
        <v>7084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7108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7316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4747</v>
      </c>
      <c r="AO74" s="321" t="s">
        <v>80</v>
      </c>
      <c r="AP74" s="321" t="s">
        <v>7317</v>
      </c>
      <c r="AQ74" s="314" t="s">
        <v>7318</v>
      </c>
      <c r="AR74" s="314" t="s">
        <v>7318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7320</v>
      </c>
      <c r="B75" s="313" t="s">
        <v>7239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7281</v>
      </c>
      <c r="K75" s="314"/>
      <c r="L75" s="315"/>
      <c r="M75" s="316" t="s">
        <v>68</v>
      </c>
      <c r="N75" s="314" t="s">
        <v>7091</v>
      </c>
      <c r="O75" s="317" t="s">
        <v>7083</v>
      </c>
      <c r="P75" s="382" t="s">
        <v>7092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7108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7316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4747</v>
      </c>
      <c r="AO75" s="321" t="s">
        <v>80</v>
      </c>
      <c r="AP75" s="321" t="s">
        <v>7317</v>
      </c>
      <c r="AQ75" s="314" t="s">
        <v>7318</v>
      </c>
      <c r="AR75" s="314" t="s">
        <v>7318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7321</v>
      </c>
      <c r="B76" s="313" t="s">
        <v>7239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7281</v>
      </c>
      <c r="K76" s="314"/>
      <c r="L76" s="315"/>
      <c r="M76" s="316" t="s">
        <v>68</v>
      </c>
      <c r="N76" s="314" t="s">
        <v>7091</v>
      </c>
      <c r="O76" s="317" t="s">
        <v>7083</v>
      </c>
      <c r="P76" s="382" t="s">
        <v>7092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7108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7316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4747</v>
      </c>
      <c r="AO76" s="321" t="s">
        <v>80</v>
      </c>
      <c r="AP76" s="321" t="s">
        <v>7317</v>
      </c>
      <c r="AQ76" s="314" t="s">
        <v>7318</v>
      </c>
      <c r="AR76" s="314" t="s">
        <v>7318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7322</v>
      </c>
      <c r="B77" s="313" t="s">
        <v>7239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7281</v>
      </c>
      <c r="K77" s="314"/>
      <c r="L77" s="315"/>
      <c r="M77" s="316" t="s">
        <v>68</v>
      </c>
      <c r="N77" s="314" t="s">
        <v>7094</v>
      </c>
      <c r="O77" s="317" t="s">
        <v>7291</v>
      </c>
      <c r="P77" s="382" t="s">
        <v>7096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7114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7316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4747</v>
      </c>
      <c r="AO77" s="321" t="s">
        <v>80</v>
      </c>
      <c r="AP77" s="321" t="s">
        <v>7317</v>
      </c>
      <c r="AQ77" s="314" t="s">
        <v>7318</v>
      </c>
      <c r="AR77" s="314" t="s">
        <v>7318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7323</v>
      </c>
      <c r="B78" s="313" t="s">
        <v>7239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7281</v>
      </c>
      <c r="K78" s="314"/>
      <c r="L78" s="315"/>
      <c r="M78" s="316" t="s">
        <v>68</v>
      </c>
      <c r="N78" s="314" t="s">
        <v>7094</v>
      </c>
      <c r="O78" s="317" t="s">
        <v>7291</v>
      </c>
      <c r="P78" s="382" t="s">
        <v>7096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7114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7316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4747</v>
      </c>
      <c r="AO78" s="321" t="s">
        <v>80</v>
      </c>
      <c r="AP78" s="321" t="s">
        <v>7317</v>
      </c>
      <c r="AQ78" s="314" t="s">
        <v>7318</v>
      </c>
      <c r="AR78" s="314" t="s">
        <v>7318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7324</v>
      </c>
      <c r="B79" s="313" t="s">
        <v>7239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7281</v>
      </c>
      <c r="K79" s="314"/>
      <c r="L79" s="315"/>
      <c r="M79" s="316" t="s">
        <v>68</v>
      </c>
      <c r="N79" s="314" t="s">
        <v>7105</v>
      </c>
      <c r="O79" s="317" t="s">
        <v>7303</v>
      </c>
      <c r="P79" s="382" t="s">
        <v>7107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7325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7326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7327</v>
      </c>
      <c r="AO79" s="321" t="s">
        <v>161</v>
      </c>
      <c r="AP79" s="321" t="s">
        <v>7328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7329</v>
      </c>
      <c r="B80" s="313" t="s">
        <v>7239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7281</v>
      </c>
      <c r="K80" s="314"/>
      <c r="L80" s="315"/>
      <c r="M80" s="316" t="s">
        <v>68</v>
      </c>
      <c r="N80" s="314" t="s">
        <v>7105</v>
      </c>
      <c r="O80" s="389" t="s">
        <v>7303</v>
      </c>
      <c r="P80" s="375" t="s">
        <v>7107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7127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7330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7331</v>
      </c>
      <c r="AO80" s="321" t="s">
        <v>161</v>
      </c>
      <c r="AP80" s="321" t="s">
        <v>7332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7333</v>
      </c>
      <c r="B81" s="313" t="s">
        <v>7239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7281</v>
      </c>
      <c r="K81" s="314"/>
      <c r="L81" s="315"/>
      <c r="M81" s="316" t="s">
        <v>68</v>
      </c>
      <c r="N81" s="314" t="s">
        <v>7105</v>
      </c>
      <c r="O81" s="317" t="s">
        <v>7303</v>
      </c>
      <c r="P81" s="314" t="s">
        <v>7107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7131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7334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7335</v>
      </c>
      <c r="AO81" s="321" t="s">
        <v>161</v>
      </c>
      <c r="AP81" s="321" t="s">
        <v>7336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7337</v>
      </c>
      <c r="B82" s="313" t="s">
        <v>7239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7281</v>
      </c>
      <c r="K82" s="314"/>
      <c r="L82" s="315"/>
      <c r="M82" s="316" t="s">
        <v>68</v>
      </c>
      <c r="N82" s="314" t="s">
        <v>7105</v>
      </c>
      <c r="O82" s="317" t="s">
        <v>7303</v>
      </c>
      <c r="P82" s="314" t="s">
        <v>7107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7311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7334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7335</v>
      </c>
      <c r="AO82" s="321" t="s">
        <v>161</v>
      </c>
      <c r="AP82" s="321" t="s">
        <v>7336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7338</v>
      </c>
      <c r="B83" s="313" t="s">
        <v>7239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7281</v>
      </c>
      <c r="K83" s="314"/>
      <c r="L83" s="315"/>
      <c r="M83" s="316" t="s">
        <v>68</v>
      </c>
      <c r="N83" s="314" t="s">
        <v>7105</v>
      </c>
      <c r="O83" s="317" t="s">
        <v>7303</v>
      </c>
      <c r="P83" s="314" t="s">
        <v>7107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7311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7334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7335</v>
      </c>
      <c r="AO83" s="321" t="s">
        <v>161</v>
      </c>
      <c r="AP83" s="321" t="s">
        <v>7336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7339</v>
      </c>
      <c r="B84" s="313" t="s">
        <v>7239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7281</v>
      </c>
      <c r="K84" s="314"/>
      <c r="L84" s="315"/>
      <c r="M84" s="316" t="s">
        <v>68</v>
      </c>
      <c r="N84" s="314" t="s">
        <v>7082</v>
      </c>
      <c r="O84" s="317" t="s">
        <v>7083</v>
      </c>
      <c r="P84" s="314" t="s">
        <v>7084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7340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7341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4927</v>
      </c>
      <c r="AO84" s="321" t="s">
        <v>80</v>
      </c>
      <c r="AP84" s="321" t="s">
        <v>7342</v>
      </c>
      <c r="AQ84" s="314" t="s">
        <v>7343</v>
      </c>
      <c r="AR84" s="314" t="s">
        <v>7343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7344</v>
      </c>
      <c r="B85" s="313" t="s">
        <v>7239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7281</v>
      </c>
      <c r="K85" s="314"/>
      <c r="L85" s="315"/>
      <c r="M85" s="316" t="s">
        <v>68</v>
      </c>
      <c r="N85" s="314" t="s">
        <v>7094</v>
      </c>
      <c r="O85" s="317" t="s">
        <v>7291</v>
      </c>
      <c r="P85" s="314" t="s">
        <v>7096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7340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7341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4927</v>
      </c>
      <c r="AO85" s="321" t="s">
        <v>80</v>
      </c>
      <c r="AP85" s="321" t="s">
        <v>7342</v>
      </c>
      <c r="AQ85" s="314" t="s">
        <v>7343</v>
      </c>
      <c r="AR85" s="314" t="s">
        <v>7343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7345</v>
      </c>
      <c r="B86" s="313" t="s">
        <v>7239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7281</v>
      </c>
      <c r="K86" s="314"/>
      <c r="L86" s="315"/>
      <c r="M86" s="316" t="s">
        <v>68</v>
      </c>
      <c r="N86" s="314" t="s">
        <v>7070</v>
      </c>
      <c r="O86" s="317" t="s">
        <v>7240</v>
      </c>
      <c r="P86" s="314" t="s">
        <v>7072</v>
      </c>
      <c r="Q86" s="313"/>
      <c r="R86" s="318">
        <v>165</v>
      </c>
      <c r="S86" s="319"/>
      <c r="T86" s="314"/>
      <c r="U86" s="325">
        <v>0.02</v>
      </c>
      <c r="V86" s="371" t="s">
        <v>7340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7341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4927</v>
      </c>
      <c r="AO86" s="321" t="s">
        <v>80</v>
      </c>
      <c r="AP86" s="321" t="s">
        <v>7342</v>
      </c>
      <c r="AQ86" s="314" t="s">
        <v>7343</v>
      </c>
      <c r="AR86" s="314" t="s">
        <v>7343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7346</v>
      </c>
      <c r="B87" s="313" t="s">
        <v>7239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7281</v>
      </c>
      <c r="K87" s="314"/>
      <c r="L87" s="315"/>
      <c r="M87" s="316" t="s">
        <v>68</v>
      </c>
      <c r="N87" s="313" t="s">
        <v>7078</v>
      </c>
      <c r="O87" s="314" t="s">
        <v>7347</v>
      </c>
      <c r="P87" s="407" t="s">
        <v>7080</v>
      </c>
      <c r="Q87" s="408"/>
      <c r="R87" s="318">
        <v>72</v>
      </c>
      <c r="S87" s="319"/>
      <c r="T87" s="314"/>
      <c r="U87" s="701">
        <v>0</v>
      </c>
      <c r="V87" s="409" t="s">
        <v>7340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7341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4927</v>
      </c>
      <c r="AO87" s="321" t="s">
        <v>80</v>
      </c>
      <c r="AP87" s="321" t="s">
        <v>7342</v>
      </c>
      <c r="AQ87" s="314" t="s">
        <v>7343</v>
      </c>
      <c r="AR87" s="314" t="s">
        <v>7343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7348</v>
      </c>
      <c r="B88" s="313" t="s">
        <v>7239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7281</v>
      </c>
      <c r="K88" s="314"/>
      <c r="L88" s="315"/>
      <c r="M88" s="316" t="s">
        <v>68</v>
      </c>
      <c r="N88" s="375" t="s">
        <v>7349</v>
      </c>
      <c r="O88" s="389" t="s">
        <v>7350</v>
      </c>
      <c r="P88" s="375" t="s">
        <v>7351</v>
      </c>
      <c r="Q88" s="313"/>
      <c r="R88" s="377">
        <v>150</v>
      </c>
      <c r="S88" s="319"/>
      <c r="T88" s="314"/>
      <c r="U88" s="701">
        <v>0</v>
      </c>
      <c r="V88" s="371" t="s">
        <v>7340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7341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4927</v>
      </c>
      <c r="AO88" s="321" t="s">
        <v>80</v>
      </c>
      <c r="AP88" s="321" t="s">
        <v>7342</v>
      </c>
      <c r="AQ88" s="314" t="s">
        <v>7343</v>
      </c>
      <c r="AR88" s="314" t="s">
        <v>7343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7352</v>
      </c>
      <c r="B89" s="313" t="s">
        <v>7239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7281</v>
      </c>
      <c r="K89" s="314"/>
      <c r="L89" s="315"/>
      <c r="M89" s="316" t="s">
        <v>68</v>
      </c>
      <c r="N89" s="314" t="s">
        <v>7082</v>
      </c>
      <c r="O89" s="317" t="s">
        <v>7083</v>
      </c>
      <c r="P89" s="314" t="s">
        <v>7084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7353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7341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4927</v>
      </c>
      <c r="AO89" s="321" t="s">
        <v>80</v>
      </c>
      <c r="AP89" s="321" t="s">
        <v>7342</v>
      </c>
      <c r="AQ89" s="314" t="s">
        <v>7343</v>
      </c>
      <c r="AR89" s="314" t="s">
        <v>7343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7354</v>
      </c>
      <c r="B90" s="340" t="s">
        <v>7068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7281</v>
      </c>
      <c r="K90" s="341"/>
      <c r="L90" s="342"/>
      <c r="M90" s="343" t="s">
        <v>68</v>
      </c>
      <c r="N90" s="344" t="s">
        <v>7355</v>
      </c>
      <c r="O90" s="344" t="s">
        <v>7083</v>
      </c>
      <c r="P90" s="344" t="s">
        <v>7356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7108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7357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7358</v>
      </c>
      <c r="AO90" s="348" t="s">
        <v>80</v>
      </c>
      <c r="AP90" s="348" t="s">
        <v>7359</v>
      </c>
      <c r="AQ90" s="341" t="s">
        <v>7360</v>
      </c>
      <c r="AR90" s="341" t="s">
        <v>7360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7361</v>
      </c>
      <c r="B91" s="340" t="s">
        <v>7068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7281</v>
      </c>
      <c r="K91" s="341"/>
      <c r="L91" s="342"/>
      <c r="M91" s="343" t="s">
        <v>68</v>
      </c>
      <c r="N91" s="344" t="s">
        <v>7362</v>
      </c>
      <c r="O91" s="344" t="s">
        <v>7291</v>
      </c>
      <c r="P91" s="344" t="s">
        <v>7363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7108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7357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7358</v>
      </c>
      <c r="AO91" s="348" t="s">
        <v>80</v>
      </c>
      <c r="AP91" s="348" t="s">
        <v>7359</v>
      </c>
      <c r="AQ91" s="341" t="s">
        <v>7360</v>
      </c>
      <c r="AR91" s="341" t="s">
        <v>7360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7364</v>
      </c>
      <c r="B92" s="340" t="s">
        <v>7068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7281</v>
      </c>
      <c r="K92" s="341"/>
      <c r="L92" s="342"/>
      <c r="M92" s="343" t="s">
        <v>68</v>
      </c>
      <c r="N92" s="344" t="s">
        <v>7362</v>
      </c>
      <c r="O92" s="344" t="s">
        <v>7291</v>
      </c>
      <c r="P92" s="344" t="s">
        <v>7363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7108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7357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7358</v>
      </c>
      <c r="AO92" s="348" t="s">
        <v>80</v>
      </c>
      <c r="AP92" s="348" t="s">
        <v>7359</v>
      </c>
      <c r="AQ92" s="341" t="s">
        <v>7360</v>
      </c>
      <c r="AR92" s="341" t="s">
        <v>7360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7365</v>
      </c>
      <c r="B93" s="340" t="s">
        <v>7068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7281</v>
      </c>
      <c r="K93" s="341"/>
      <c r="L93" s="342"/>
      <c r="M93" s="343" t="s">
        <v>68</v>
      </c>
      <c r="N93" s="344" t="s">
        <v>7105</v>
      </c>
      <c r="O93" s="344" t="s">
        <v>7303</v>
      </c>
      <c r="P93" s="344" t="s">
        <v>7107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7114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7366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7367</v>
      </c>
      <c r="AO93" s="348" t="s">
        <v>161</v>
      </c>
      <c r="AP93" s="348" t="s">
        <v>7368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7369</v>
      </c>
      <c r="B94" s="340" t="s">
        <v>7068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7281</v>
      </c>
      <c r="K94" s="341"/>
      <c r="L94" s="342"/>
      <c r="M94" s="343" t="s">
        <v>68</v>
      </c>
      <c r="N94" s="344" t="s">
        <v>7370</v>
      </c>
      <c r="O94" s="344" t="s">
        <v>7083</v>
      </c>
      <c r="P94" s="344" t="s">
        <v>7371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7118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7366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7367</v>
      </c>
      <c r="AO94" s="348" t="s">
        <v>161</v>
      </c>
      <c r="AP94" s="348" t="s">
        <v>7368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7372</v>
      </c>
      <c r="B95" s="340" t="s">
        <v>7068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7281</v>
      </c>
      <c r="K95" s="341"/>
      <c r="L95" s="342"/>
      <c r="M95" s="343" t="s">
        <v>68</v>
      </c>
      <c r="N95" s="344" t="s">
        <v>7370</v>
      </c>
      <c r="O95" s="344" t="s">
        <v>7083</v>
      </c>
      <c r="P95" s="344" t="s">
        <v>7371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7118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7366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7367</v>
      </c>
      <c r="AO95" s="348" t="s">
        <v>161</v>
      </c>
      <c r="AP95" s="348" t="s">
        <v>7368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7373</v>
      </c>
      <c r="B96" s="340" t="s">
        <v>7068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7281</v>
      </c>
      <c r="K96" s="341"/>
      <c r="L96" s="342"/>
      <c r="M96" s="343" t="s">
        <v>68</v>
      </c>
      <c r="N96" s="344" t="s">
        <v>7355</v>
      </c>
      <c r="O96" s="344" t="s">
        <v>7083</v>
      </c>
      <c r="P96" s="344" t="s">
        <v>7356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7118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7366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7367</v>
      </c>
      <c r="AO96" s="348" t="s">
        <v>161</v>
      </c>
      <c r="AP96" s="348" t="s">
        <v>7368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7374</v>
      </c>
      <c r="B97" s="340" t="s">
        <v>7068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7281</v>
      </c>
      <c r="K97" s="341"/>
      <c r="L97" s="342"/>
      <c r="M97" s="343" t="s">
        <v>68</v>
      </c>
      <c r="N97" s="344" t="s">
        <v>7355</v>
      </c>
      <c r="O97" s="344" t="s">
        <v>7083</v>
      </c>
      <c r="P97" s="344" t="s">
        <v>7356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7118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7366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7367</v>
      </c>
      <c r="AO97" s="348" t="s">
        <v>161</v>
      </c>
      <c r="AP97" s="348" t="s">
        <v>7368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7375</v>
      </c>
      <c r="B98" s="340" t="s">
        <v>7068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7281</v>
      </c>
      <c r="K98" s="341"/>
      <c r="L98" s="342"/>
      <c r="M98" s="343" t="s">
        <v>68</v>
      </c>
      <c r="N98" s="344" t="s">
        <v>7105</v>
      </c>
      <c r="O98" s="344" t="s">
        <v>7303</v>
      </c>
      <c r="P98" s="344" t="s">
        <v>7107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7118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7366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7367</v>
      </c>
      <c r="AO98" s="348" t="s">
        <v>161</v>
      </c>
      <c r="AP98" s="348" t="s">
        <v>7368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7376</v>
      </c>
      <c r="B99" s="340" t="s">
        <v>7068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7281</v>
      </c>
      <c r="K99" s="341"/>
      <c r="L99" s="342"/>
      <c r="M99" s="343" t="s">
        <v>68</v>
      </c>
      <c r="N99" s="344" t="s">
        <v>7105</v>
      </c>
      <c r="O99" s="344" t="s">
        <v>7303</v>
      </c>
      <c r="P99" s="340" t="s">
        <v>7107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7118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7366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7367</v>
      </c>
      <c r="AO99" s="348" t="s">
        <v>161</v>
      </c>
      <c r="AP99" s="348" t="s">
        <v>7368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7377</v>
      </c>
      <c r="B100" s="496" t="s">
        <v>7068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7273</v>
      </c>
      <c r="I100" s="178"/>
      <c r="J100" s="41"/>
      <c r="K100" s="41"/>
      <c r="L100" s="537"/>
      <c r="M100" s="225"/>
      <c r="N100" s="41" t="s">
        <v>7082</v>
      </c>
      <c r="O100" s="531" t="s">
        <v>7083</v>
      </c>
      <c r="P100" s="533" t="s">
        <v>7084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7378</v>
      </c>
      <c r="W100" s="41" t="s">
        <v>7379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7380</v>
      </c>
      <c r="AC100" s="41"/>
      <c r="AD100" s="41" t="s">
        <v>122</v>
      </c>
      <c r="AE100" s="41" t="s">
        <v>122</v>
      </c>
      <c r="AF100" s="41" t="s">
        <v>7381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1" t="s">
        <v>156</v>
      </c>
      <c r="AN100" s="37" t="s">
        <v>7382</v>
      </c>
      <c r="AO100" s="37" t="s">
        <v>161</v>
      </c>
      <c r="AP100" s="37" t="s">
        <v>7380</v>
      </c>
      <c r="AQ100" s="41"/>
      <c r="AR100" s="41" t="s">
        <v>7383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7384</v>
      </c>
      <c r="B101" s="496" t="s">
        <v>7068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7273</v>
      </c>
      <c r="I101" s="178"/>
      <c r="J101" s="41"/>
      <c r="K101" s="41"/>
      <c r="L101" s="537"/>
      <c r="M101" s="225"/>
      <c r="N101" s="41" t="s">
        <v>7091</v>
      </c>
      <c r="O101" s="531" t="s">
        <v>7083</v>
      </c>
      <c r="P101" s="533" t="s">
        <v>7092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7378</v>
      </c>
      <c r="W101" s="41" t="s">
        <v>7379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7380</v>
      </c>
      <c r="AC101" s="41"/>
      <c r="AD101" s="41" t="s">
        <v>122</v>
      </c>
      <c r="AE101" s="41" t="s">
        <v>122</v>
      </c>
      <c r="AF101" s="41" t="s">
        <v>7381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1" t="s">
        <v>156</v>
      </c>
      <c r="AN101" s="37" t="s">
        <v>7382</v>
      </c>
      <c r="AO101" s="37" t="s">
        <v>161</v>
      </c>
      <c r="AP101" s="37" t="s">
        <v>7380</v>
      </c>
      <c r="AQ101" s="41"/>
      <c r="AR101" s="41" t="s">
        <v>7383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7385</v>
      </c>
      <c r="B102" s="496" t="s">
        <v>7068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7273</v>
      </c>
      <c r="I102" s="178"/>
      <c r="J102" s="41"/>
      <c r="K102" s="41"/>
      <c r="L102" s="537"/>
      <c r="M102" s="225"/>
      <c r="N102" s="41" t="s">
        <v>7094</v>
      </c>
      <c r="O102" s="531" t="s">
        <v>7291</v>
      </c>
      <c r="P102" s="533" t="s">
        <v>7096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7378</v>
      </c>
      <c r="W102" s="41" t="s">
        <v>7379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7380</v>
      </c>
      <c r="AC102" s="41"/>
      <c r="AD102" s="41" t="s">
        <v>122</v>
      </c>
      <c r="AE102" s="41" t="s">
        <v>122</v>
      </c>
      <c r="AF102" s="41" t="s">
        <v>7381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1" t="s">
        <v>156</v>
      </c>
      <c r="AN102" s="37" t="s">
        <v>7382</v>
      </c>
      <c r="AO102" s="37" t="s">
        <v>161</v>
      </c>
      <c r="AP102" s="37" t="s">
        <v>7380</v>
      </c>
      <c r="AQ102" s="41"/>
      <c r="AR102" s="41" t="s">
        <v>7383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7386</v>
      </c>
      <c r="B103" s="496" t="s">
        <v>7068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7273</v>
      </c>
      <c r="I103" s="178"/>
      <c r="J103" s="41"/>
      <c r="K103" s="41"/>
      <c r="L103" s="537"/>
      <c r="M103" s="225"/>
      <c r="N103" s="41" t="s">
        <v>7105</v>
      </c>
      <c r="O103" s="531" t="s">
        <v>7106</v>
      </c>
      <c r="P103" s="533" t="s">
        <v>7107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7378</v>
      </c>
      <c r="W103" s="41" t="s">
        <v>7379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7380</v>
      </c>
      <c r="AC103" s="41"/>
      <c r="AD103" s="41" t="s">
        <v>122</v>
      </c>
      <c r="AE103" s="41" t="s">
        <v>122</v>
      </c>
      <c r="AF103" s="41" t="s">
        <v>7381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1" t="s">
        <v>156</v>
      </c>
      <c r="AN103" s="37" t="s">
        <v>7382</v>
      </c>
      <c r="AO103" s="37" t="s">
        <v>161</v>
      </c>
      <c r="AP103" s="37" t="s">
        <v>7380</v>
      </c>
      <c r="AQ103" s="41"/>
      <c r="AR103" s="41" t="s">
        <v>7383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7387</v>
      </c>
      <c r="B104" s="328" t="s">
        <v>7068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7388</v>
      </c>
      <c r="K104" s="328"/>
      <c r="L104" s="329"/>
      <c r="M104" s="330" t="s">
        <v>68</v>
      </c>
      <c r="N104" s="331" t="s">
        <v>7105</v>
      </c>
      <c r="O104" s="327" t="s">
        <v>7106</v>
      </c>
      <c r="P104" s="403" t="s">
        <v>7107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7108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7389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7390</v>
      </c>
      <c r="AO104" s="334" t="s">
        <v>161</v>
      </c>
      <c r="AP104" s="334" t="s">
        <v>7391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customHeight="1">
      <c r="A105" s="669" t="s">
        <v>7392</v>
      </c>
      <c r="B105" s="670" t="s">
        <v>7068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7281</v>
      </c>
      <c r="K105" s="670"/>
      <c r="L105" s="329"/>
      <c r="M105" s="102" t="s">
        <v>68</v>
      </c>
      <c r="N105" s="672" t="s">
        <v>7105</v>
      </c>
      <c r="O105" s="671" t="s">
        <v>7106</v>
      </c>
      <c r="P105" s="673" t="s">
        <v>7107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7108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7389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7390</v>
      </c>
      <c r="AO105" s="679" t="s">
        <v>161</v>
      </c>
      <c r="AP105" s="679" t="s">
        <v>7391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customHeight="1">
      <c r="A106" s="326" t="s">
        <v>7393</v>
      </c>
      <c r="B106" s="328" t="s">
        <v>7068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7281</v>
      </c>
      <c r="K106" s="328"/>
      <c r="L106" s="329"/>
      <c r="M106" s="330" t="s">
        <v>68</v>
      </c>
      <c r="N106" s="327" t="s">
        <v>7116</v>
      </c>
      <c r="O106" s="327" t="s">
        <v>7083</v>
      </c>
      <c r="P106" s="415" t="s">
        <v>7117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7114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7394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7395</v>
      </c>
      <c r="AO106" s="334" t="s">
        <v>80</v>
      </c>
      <c r="AP106" s="334" t="s">
        <v>7396</v>
      </c>
      <c r="AQ106" s="328" t="s">
        <v>7397</v>
      </c>
      <c r="AR106" s="328" t="s">
        <v>7397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7398</v>
      </c>
      <c r="B107" s="328" t="s">
        <v>7068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7281</v>
      </c>
      <c r="K107" s="328"/>
      <c r="L107" s="329"/>
      <c r="M107" s="330" t="s">
        <v>68</v>
      </c>
      <c r="N107" s="327" t="s">
        <v>7116</v>
      </c>
      <c r="O107" s="327" t="s">
        <v>7083</v>
      </c>
      <c r="P107" s="403" t="s">
        <v>7117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7114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7394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7395</v>
      </c>
      <c r="AO107" s="334" t="s">
        <v>80</v>
      </c>
      <c r="AP107" s="334" t="s">
        <v>7396</v>
      </c>
      <c r="AQ107" s="328" t="s">
        <v>7397</v>
      </c>
      <c r="AR107" s="328" t="s">
        <v>7397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7399</v>
      </c>
      <c r="B108" s="328" t="s">
        <v>7068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7281</v>
      </c>
      <c r="K108" s="328"/>
      <c r="L108" s="329"/>
      <c r="M108" s="330" t="s">
        <v>68</v>
      </c>
      <c r="N108" s="327" t="s">
        <v>7091</v>
      </c>
      <c r="O108" s="327" t="s">
        <v>7083</v>
      </c>
      <c r="P108" s="403" t="s">
        <v>7092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7114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7394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7395</v>
      </c>
      <c r="AO108" s="334" t="s">
        <v>80</v>
      </c>
      <c r="AP108" s="334" t="s">
        <v>7396</v>
      </c>
      <c r="AQ108" s="328" t="s">
        <v>7397</v>
      </c>
      <c r="AR108" s="328" t="s">
        <v>7397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7400</v>
      </c>
      <c r="B109" s="328" t="s">
        <v>7068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7281</v>
      </c>
      <c r="K109" s="328"/>
      <c r="L109" s="329"/>
      <c r="M109" s="330" t="s">
        <v>68</v>
      </c>
      <c r="N109" s="327" t="s">
        <v>7091</v>
      </c>
      <c r="O109" s="327" t="s">
        <v>7083</v>
      </c>
      <c r="P109" s="403" t="s">
        <v>7092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7114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7394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7395</v>
      </c>
      <c r="AO109" s="334" t="s">
        <v>80</v>
      </c>
      <c r="AP109" s="334" t="s">
        <v>7396</v>
      </c>
      <c r="AQ109" s="328" t="s">
        <v>7397</v>
      </c>
      <c r="AR109" s="328" t="s">
        <v>7397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7401</v>
      </c>
      <c r="B110" s="328" t="s">
        <v>7068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7281</v>
      </c>
      <c r="K110" s="328"/>
      <c r="L110" s="329"/>
      <c r="M110" s="330" t="s">
        <v>68</v>
      </c>
      <c r="N110" s="327" t="s">
        <v>7094</v>
      </c>
      <c r="O110" s="327" t="s">
        <v>7291</v>
      </c>
      <c r="P110" s="403" t="s">
        <v>7096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7114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7394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7395</v>
      </c>
      <c r="AO110" s="334" t="s">
        <v>80</v>
      </c>
      <c r="AP110" s="334" t="s">
        <v>7396</v>
      </c>
      <c r="AQ110" s="328" t="s">
        <v>7397</v>
      </c>
      <c r="AR110" s="328" t="s">
        <v>7397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7402</v>
      </c>
      <c r="B111" s="328" t="s">
        <v>7068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7281</v>
      </c>
      <c r="K111" s="328"/>
      <c r="L111" s="329"/>
      <c r="M111" s="330" t="s">
        <v>68</v>
      </c>
      <c r="N111" s="327" t="s">
        <v>7094</v>
      </c>
      <c r="O111" s="327" t="s">
        <v>7291</v>
      </c>
      <c r="P111" s="403" t="s">
        <v>7096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7114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7394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7395</v>
      </c>
      <c r="AO111" s="334" t="s">
        <v>80</v>
      </c>
      <c r="AP111" s="334" t="s">
        <v>7396</v>
      </c>
      <c r="AQ111" s="328" t="s">
        <v>7397</v>
      </c>
      <c r="AR111" s="328" t="s">
        <v>7397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7403</v>
      </c>
      <c r="B112" s="328" t="s">
        <v>7068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7281</v>
      </c>
      <c r="K112" s="328"/>
      <c r="L112" s="329"/>
      <c r="M112" s="330" t="s">
        <v>68</v>
      </c>
      <c r="N112" s="327" t="s">
        <v>7070</v>
      </c>
      <c r="O112" s="327" t="s">
        <v>7240</v>
      </c>
      <c r="P112" s="328" t="s">
        <v>7072</v>
      </c>
      <c r="Q112" s="355"/>
      <c r="R112" s="332">
        <v>180</v>
      </c>
      <c r="S112" s="333"/>
      <c r="T112" s="328"/>
      <c r="U112" s="338">
        <v>0.19</v>
      </c>
      <c r="V112" s="370" t="s">
        <v>7114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7394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7395</v>
      </c>
      <c r="AO112" s="334" t="s">
        <v>80</v>
      </c>
      <c r="AP112" s="334" t="s">
        <v>7396</v>
      </c>
      <c r="AQ112" s="328" t="s">
        <v>7397</v>
      </c>
      <c r="AR112" s="328" t="s">
        <v>7397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4" t="s">
        <v>7404</v>
      </c>
      <c r="B113" s="326" t="s">
        <v>7068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7281</v>
      </c>
      <c r="K113" s="328"/>
      <c r="L113" s="329"/>
      <c r="M113" s="330" t="s">
        <v>68</v>
      </c>
      <c r="N113" s="327" t="s">
        <v>7082</v>
      </c>
      <c r="O113" s="327" t="s">
        <v>7083</v>
      </c>
      <c r="P113" s="403" t="s">
        <v>7084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7118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7394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7395</v>
      </c>
      <c r="AO113" s="595" t="s">
        <v>80</v>
      </c>
      <c r="AP113" s="334" t="s">
        <v>7405</v>
      </c>
      <c r="AQ113" s="328" t="s">
        <v>7406</v>
      </c>
      <c r="AR113" s="328" t="s">
        <v>7406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7407</v>
      </c>
      <c r="B114" s="326" t="s">
        <v>7068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7281</v>
      </c>
      <c r="K114" s="328"/>
      <c r="L114" s="329"/>
      <c r="M114" s="330" t="s">
        <v>68</v>
      </c>
      <c r="N114" s="327" t="s">
        <v>7082</v>
      </c>
      <c r="O114" s="327" t="s">
        <v>7083</v>
      </c>
      <c r="P114" s="403" t="s">
        <v>7084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7118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7394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7395</v>
      </c>
      <c r="AO114" s="334" t="s">
        <v>80</v>
      </c>
      <c r="AP114" s="334" t="s">
        <v>7405</v>
      </c>
      <c r="AQ114" s="328" t="s">
        <v>7406</v>
      </c>
      <c r="AR114" s="328" t="s">
        <v>7406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7408</v>
      </c>
      <c r="B115" s="326" t="s">
        <v>7068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7281</v>
      </c>
      <c r="K115" s="328"/>
      <c r="L115" s="329"/>
      <c r="M115" s="330" t="s">
        <v>68</v>
      </c>
      <c r="N115" s="327" t="s">
        <v>7091</v>
      </c>
      <c r="O115" s="327" t="s">
        <v>7083</v>
      </c>
      <c r="P115" s="403" t="s">
        <v>7092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7118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7394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7395</v>
      </c>
      <c r="AO115" s="334" t="s">
        <v>80</v>
      </c>
      <c r="AP115" s="334" t="s">
        <v>7405</v>
      </c>
      <c r="AQ115" s="328" t="s">
        <v>7406</v>
      </c>
      <c r="AR115" s="328" t="s">
        <v>7406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3" t="s">
        <v>7409</v>
      </c>
      <c r="B116" s="326" t="s">
        <v>7068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7281</v>
      </c>
      <c r="K116" s="328"/>
      <c r="L116" s="329"/>
      <c r="M116" s="330" t="s">
        <v>68</v>
      </c>
      <c r="N116" s="327" t="s">
        <v>7105</v>
      </c>
      <c r="O116" s="331" t="s">
        <v>7106</v>
      </c>
      <c r="P116" s="403" t="s">
        <v>7107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7410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7411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7412</v>
      </c>
      <c r="AO116" s="334" t="s">
        <v>161</v>
      </c>
      <c r="AP116" s="334" t="s">
        <v>7413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8" t="s">
        <v>7414</v>
      </c>
      <c r="B117" s="326" t="s">
        <v>7068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7388</v>
      </c>
      <c r="K117" s="328"/>
      <c r="L117" s="329"/>
      <c r="M117" s="330" t="s">
        <v>68</v>
      </c>
      <c r="N117" s="327" t="s">
        <v>7105</v>
      </c>
      <c r="O117" s="331" t="s">
        <v>7106</v>
      </c>
      <c r="P117" s="403" t="s">
        <v>7107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7410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7411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7412</v>
      </c>
      <c r="AO117" s="334" t="s">
        <v>161</v>
      </c>
      <c r="AP117" s="334" t="s">
        <v>7413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8" t="s">
        <v>7415</v>
      </c>
      <c r="B118" s="326" t="s">
        <v>7068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7281</v>
      </c>
      <c r="K118" s="328"/>
      <c r="L118" s="329"/>
      <c r="M118" s="330" t="s">
        <v>68</v>
      </c>
      <c r="N118" s="327" t="s">
        <v>7105</v>
      </c>
      <c r="O118" s="331" t="s">
        <v>7106</v>
      </c>
      <c r="P118" s="403" t="s">
        <v>7107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7410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7411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7412</v>
      </c>
      <c r="AO118" s="334" t="s">
        <v>161</v>
      </c>
      <c r="AP118" s="334" t="s">
        <v>7413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5" t="s">
        <v>7416</v>
      </c>
      <c r="B119" s="326" t="s">
        <v>7068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7281</v>
      </c>
      <c r="K119" s="328"/>
      <c r="L119" s="329"/>
      <c r="M119" s="330" t="s">
        <v>68</v>
      </c>
      <c r="N119" s="327" t="s">
        <v>7094</v>
      </c>
      <c r="O119" s="327" t="s">
        <v>7291</v>
      </c>
      <c r="P119" s="403" t="s">
        <v>7096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7311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7417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5295</v>
      </c>
      <c r="AO119" s="334" t="s">
        <v>80</v>
      </c>
      <c r="AP119" s="334" t="s">
        <v>7418</v>
      </c>
      <c r="AQ119" s="328" t="s">
        <v>7419</v>
      </c>
      <c r="AR119" s="328" t="s">
        <v>7419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4" t="s">
        <v>7420</v>
      </c>
      <c r="B120" s="326" t="s">
        <v>7068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7281</v>
      </c>
      <c r="K120" s="328"/>
      <c r="L120" s="329"/>
      <c r="M120" s="330" t="s">
        <v>68</v>
      </c>
      <c r="N120" s="327" t="s">
        <v>7094</v>
      </c>
      <c r="O120" s="327" t="s">
        <v>7291</v>
      </c>
      <c r="P120" s="403" t="s">
        <v>7096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7311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7417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5295</v>
      </c>
      <c r="AO120" s="334" t="s">
        <v>80</v>
      </c>
      <c r="AP120" s="334" t="s">
        <v>7418</v>
      </c>
      <c r="AQ120" s="328" t="s">
        <v>7419</v>
      </c>
      <c r="AR120" s="328" t="s">
        <v>7419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7421</v>
      </c>
      <c r="B121" s="326" t="s">
        <v>7068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7281</v>
      </c>
      <c r="K121" s="328"/>
      <c r="L121" s="329"/>
      <c r="M121" s="330" t="s">
        <v>68</v>
      </c>
      <c r="N121" s="327" t="s">
        <v>7082</v>
      </c>
      <c r="O121" s="327" t="s">
        <v>7083</v>
      </c>
      <c r="P121" s="403" t="s">
        <v>7084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7340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7422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5514</v>
      </c>
      <c r="AO121" s="334" t="s">
        <v>80</v>
      </c>
      <c r="AP121" s="334" t="s">
        <v>7423</v>
      </c>
      <c r="AQ121" s="328" t="s">
        <v>7424</v>
      </c>
      <c r="AR121" s="328" t="s">
        <v>7424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7425</v>
      </c>
      <c r="B122" s="326" t="s">
        <v>7068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7281</v>
      </c>
      <c r="K122" s="328"/>
      <c r="L122" s="329"/>
      <c r="M122" s="330" t="s">
        <v>68</v>
      </c>
      <c r="N122" s="327" t="s">
        <v>7105</v>
      </c>
      <c r="O122" s="331" t="s">
        <v>7106</v>
      </c>
      <c r="P122" s="403" t="s">
        <v>7107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7353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7426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7427</v>
      </c>
      <c r="AO122" s="334" t="s">
        <v>161</v>
      </c>
      <c r="AP122" s="334" t="s">
        <v>7428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7429</v>
      </c>
      <c r="B123" s="328" t="s">
        <v>7068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7388</v>
      </c>
      <c r="K123" s="328"/>
      <c r="L123" s="329"/>
      <c r="M123" s="330" t="s">
        <v>68</v>
      </c>
      <c r="N123" s="327" t="s">
        <v>7105</v>
      </c>
      <c r="O123" s="331" t="s">
        <v>7106</v>
      </c>
      <c r="P123" s="403" t="s">
        <v>7107</v>
      </c>
      <c r="Q123" s="355"/>
      <c r="R123" s="332">
        <v>276</v>
      </c>
      <c r="S123" s="333"/>
      <c r="T123" s="328"/>
      <c r="U123" s="338">
        <v>1</v>
      </c>
      <c r="V123" s="369" t="s">
        <v>7430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7431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7432</v>
      </c>
      <c r="AO123" s="334" t="s">
        <v>161</v>
      </c>
      <c r="AP123" s="334" t="s">
        <v>7433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7434</v>
      </c>
      <c r="B124" s="328" t="s">
        <v>7068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7435</v>
      </c>
      <c r="K124" s="328"/>
      <c r="L124" s="329"/>
      <c r="M124" s="330" t="s">
        <v>68</v>
      </c>
      <c r="N124" s="327" t="s">
        <v>7105</v>
      </c>
      <c r="O124" s="331" t="s">
        <v>7106</v>
      </c>
      <c r="P124" s="403" t="s">
        <v>7107</v>
      </c>
      <c r="Q124" s="355"/>
      <c r="R124" s="332">
        <v>276</v>
      </c>
      <c r="S124" s="333"/>
      <c r="T124" s="328"/>
      <c r="U124" s="338">
        <v>1</v>
      </c>
      <c r="V124" s="369" t="s">
        <v>7436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7431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7432</v>
      </c>
      <c r="AO124" s="334" t="s">
        <v>161</v>
      </c>
      <c r="AP124" s="334" t="s">
        <v>7433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customHeight="1">
      <c r="A125" s="633" t="s">
        <v>7437</v>
      </c>
      <c r="B125" s="634" t="s">
        <v>7068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7438</v>
      </c>
      <c r="K125" s="634"/>
      <c r="L125" s="636"/>
      <c r="M125" s="637" t="s">
        <v>68</v>
      </c>
      <c r="N125" s="638" t="s">
        <v>7116</v>
      </c>
      <c r="O125" s="638" t="s">
        <v>7083</v>
      </c>
      <c r="P125" s="638" t="s">
        <v>7117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7108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7439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7395</v>
      </c>
      <c r="AO125" s="645" t="s">
        <v>80</v>
      </c>
      <c r="AP125" s="645" t="s">
        <v>7440</v>
      </c>
      <c r="AQ125" s="634" t="s">
        <v>7441</v>
      </c>
      <c r="AR125" s="634" t="s">
        <v>7441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customHeight="1">
      <c r="A126" s="633" t="s">
        <v>7442</v>
      </c>
      <c r="B126" s="634" t="s">
        <v>7068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7438</v>
      </c>
      <c r="K126" s="634"/>
      <c r="L126" s="636"/>
      <c r="M126" s="637" t="s">
        <v>68</v>
      </c>
      <c r="N126" s="638" t="s">
        <v>7116</v>
      </c>
      <c r="O126" s="638" t="s">
        <v>7083</v>
      </c>
      <c r="P126" s="638" t="s">
        <v>7117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7108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7439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7395</v>
      </c>
      <c r="AO126" s="645" t="s">
        <v>80</v>
      </c>
      <c r="AP126" s="645" t="s">
        <v>7440</v>
      </c>
      <c r="AQ126" s="634" t="s">
        <v>7441</v>
      </c>
      <c r="AR126" s="634" t="s">
        <v>7441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customHeight="1">
      <c r="A127" s="633" t="s">
        <v>7443</v>
      </c>
      <c r="B127" s="634" t="s">
        <v>7068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7438</v>
      </c>
      <c r="K127" s="634"/>
      <c r="L127" s="636"/>
      <c r="M127" s="637" t="s">
        <v>68</v>
      </c>
      <c r="N127" s="638" t="s">
        <v>7082</v>
      </c>
      <c r="O127" s="638" t="s">
        <v>7083</v>
      </c>
      <c r="P127" s="638" t="s">
        <v>7084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7108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7439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7395</v>
      </c>
      <c r="AO127" s="645" t="s">
        <v>80</v>
      </c>
      <c r="AP127" s="645" t="s">
        <v>7440</v>
      </c>
      <c r="AQ127" s="634" t="s">
        <v>7441</v>
      </c>
      <c r="AR127" s="634" t="s">
        <v>7441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customHeight="1">
      <c r="A128" s="633" t="s">
        <v>7444</v>
      </c>
      <c r="B128" s="634" t="s">
        <v>7068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7445</v>
      </c>
      <c r="K128" s="634"/>
      <c r="L128" s="636"/>
      <c r="M128" s="637" t="s">
        <v>68</v>
      </c>
      <c r="N128" s="638" t="s">
        <v>7082</v>
      </c>
      <c r="O128" s="638" t="s">
        <v>7083</v>
      </c>
      <c r="P128" s="638" t="s">
        <v>7084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7108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7439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7395</v>
      </c>
      <c r="AO128" s="645" t="s">
        <v>80</v>
      </c>
      <c r="AP128" s="645" t="s">
        <v>7440</v>
      </c>
      <c r="AQ128" s="634" t="s">
        <v>7441</v>
      </c>
      <c r="AR128" s="634" t="s">
        <v>7441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customHeight="1">
      <c r="A129" s="633" t="s">
        <v>7446</v>
      </c>
      <c r="B129" s="634" t="s">
        <v>7068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7438</v>
      </c>
      <c r="K129" s="634"/>
      <c r="L129" s="636"/>
      <c r="M129" s="637" t="s">
        <v>68</v>
      </c>
      <c r="N129" s="638" t="s">
        <v>7091</v>
      </c>
      <c r="O129" s="638" t="s">
        <v>7083</v>
      </c>
      <c r="P129" s="638" t="s">
        <v>7092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7108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7439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7395</v>
      </c>
      <c r="AO129" s="645" t="s">
        <v>80</v>
      </c>
      <c r="AP129" s="645" t="s">
        <v>7440</v>
      </c>
      <c r="AQ129" s="634" t="s">
        <v>7441</v>
      </c>
      <c r="AR129" s="634" t="s">
        <v>7441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customHeight="1">
      <c r="A130" s="633" t="s">
        <v>7447</v>
      </c>
      <c r="B130" s="634" t="s">
        <v>7068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7438</v>
      </c>
      <c r="K130" s="634"/>
      <c r="L130" s="636"/>
      <c r="M130" s="637" t="s">
        <v>68</v>
      </c>
      <c r="N130" s="638" t="s">
        <v>7091</v>
      </c>
      <c r="O130" s="638" t="s">
        <v>7083</v>
      </c>
      <c r="P130" s="638" t="s">
        <v>7092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7108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7439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7395</v>
      </c>
      <c r="AO130" s="645" t="s">
        <v>80</v>
      </c>
      <c r="AP130" s="645" t="s">
        <v>7440</v>
      </c>
      <c r="AQ130" s="634" t="s">
        <v>7441</v>
      </c>
      <c r="AR130" s="634" t="s">
        <v>7441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customHeight="1">
      <c r="A131" s="633" t="s">
        <v>7448</v>
      </c>
      <c r="B131" s="634" t="s">
        <v>7068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7449</v>
      </c>
      <c r="K131" s="634"/>
      <c r="L131" s="636"/>
      <c r="M131" s="637" t="s">
        <v>68</v>
      </c>
      <c r="N131" s="638" t="s">
        <v>7094</v>
      </c>
      <c r="O131" s="638" t="s">
        <v>7291</v>
      </c>
      <c r="P131" s="638" t="s">
        <v>7096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7114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7439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7395</v>
      </c>
      <c r="AO131" s="645" t="s">
        <v>80</v>
      </c>
      <c r="AP131" s="645" t="s">
        <v>7440</v>
      </c>
      <c r="AQ131" s="634" t="s">
        <v>7441</v>
      </c>
      <c r="AR131" s="634" t="s">
        <v>7441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customHeight="1">
      <c r="A132" s="633" t="s">
        <v>7450</v>
      </c>
      <c r="B132" s="634" t="s">
        <v>7068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7451</v>
      </c>
      <c r="K132" s="634"/>
      <c r="L132" s="636"/>
      <c r="M132" s="637" t="s">
        <v>68</v>
      </c>
      <c r="N132" s="638" t="s">
        <v>7094</v>
      </c>
      <c r="O132" s="638" t="s">
        <v>7291</v>
      </c>
      <c r="P132" s="638" t="s">
        <v>7096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7114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7439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7395</v>
      </c>
      <c r="AO132" s="645" t="s">
        <v>80</v>
      </c>
      <c r="AP132" s="645" t="s">
        <v>7440</v>
      </c>
      <c r="AQ132" s="634" t="s">
        <v>7441</v>
      </c>
      <c r="AR132" s="634" t="s">
        <v>7441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>
      <c r="A133" s="633" t="s">
        <v>7452</v>
      </c>
      <c r="B133" s="634" t="s">
        <v>7068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7453</v>
      </c>
      <c r="K133" s="634"/>
      <c r="L133" s="636"/>
      <c r="M133" s="637" t="s">
        <v>68</v>
      </c>
      <c r="N133" s="638" t="s">
        <v>7082</v>
      </c>
      <c r="O133" s="638" t="s">
        <v>7083</v>
      </c>
      <c r="P133" s="638" t="s">
        <v>7084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7118</v>
      </c>
      <c r="W133" s="634" t="s">
        <v>2462</v>
      </c>
      <c r="X133" s="634" t="str">
        <f t="shared" si="5"/>
        <v>IN-TRANSIT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7454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/>
      <c r="AM133" s="647" t="s">
        <v>402</v>
      </c>
      <c r="AN133" s="645" t="s">
        <v>7455</v>
      </c>
      <c r="AO133" s="645" t="s">
        <v>80</v>
      </c>
      <c r="AP133" s="645" t="s">
        <v>7456</v>
      </c>
      <c r="AQ133" s="634" t="s">
        <v>7457</v>
      </c>
      <c r="AR133" s="634" t="s">
        <v>7457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46290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>
      <c r="A134" s="633" t="s">
        <v>7458</v>
      </c>
      <c r="B134" s="634" t="s">
        <v>7068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7451</v>
      </c>
      <c r="K134" s="634"/>
      <c r="L134" s="636"/>
      <c r="M134" s="637" t="s">
        <v>68</v>
      </c>
      <c r="N134" s="638" t="s">
        <v>7094</v>
      </c>
      <c r="O134" s="638" t="s">
        <v>7291</v>
      </c>
      <c r="P134" s="638" t="s">
        <v>7096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7127</v>
      </c>
      <c r="W134" s="634" t="s">
        <v>2462</v>
      </c>
      <c r="X134" s="634" t="str">
        <f t="shared" si="5"/>
        <v>IN-TRANSIT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7454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/>
      <c r="AM134" s="647" t="s">
        <v>402</v>
      </c>
      <c r="AN134" s="645" t="s">
        <v>7455</v>
      </c>
      <c r="AO134" s="645" t="s">
        <v>80</v>
      </c>
      <c r="AP134" s="645" t="s">
        <v>7456</v>
      </c>
      <c r="AQ134" s="634" t="s">
        <v>7457</v>
      </c>
      <c r="AR134" s="634" t="s">
        <v>7457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46290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>
      <c r="A135" s="633" t="s">
        <v>7459</v>
      </c>
      <c r="B135" s="634" t="s">
        <v>7068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7445</v>
      </c>
      <c r="K135" s="634"/>
      <c r="L135" s="636"/>
      <c r="M135" s="637" t="s">
        <v>68</v>
      </c>
      <c r="N135" s="638" t="s">
        <v>7070</v>
      </c>
      <c r="O135" s="638" t="s">
        <v>7240</v>
      </c>
      <c r="P135" s="638" t="s">
        <v>7072</v>
      </c>
      <c r="Q135" s="639"/>
      <c r="R135" s="640">
        <v>180</v>
      </c>
      <c r="S135" s="641"/>
      <c r="T135" s="634"/>
      <c r="U135" s="642">
        <v>0.1</v>
      </c>
      <c r="V135" s="648" t="s">
        <v>7340</v>
      </c>
      <c r="W135" s="634" t="s">
        <v>2462</v>
      </c>
      <c r="X135" s="634" t="str">
        <f t="shared" si="5"/>
        <v>IN-TRANSIT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7454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/>
      <c r="AM135" s="647" t="s">
        <v>402</v>
      </c>
      <c r="AN135" s="645" t="s">
        <v>7455</v>
      </c>
      <c r="AO135" s="645" t="s">
        <v>80</v>
      </c>
      <c r="AP135" s="645" t="s">
        <v>7456</v>
      </c>
      <c r="AQ135" s="634" t="s">
        <v>7457</v>
      </c>
      <c r="AR135" s="634" t="s">
        <v>7457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46290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>
      <c r="A136" s="633" t="s">
        <v>7460</v>
      </c>
      <c r="B136" s="634" t="s">
        <v>7068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7445</v>
      </c>
      <c r="K136" s="634"/>
      <c r="L136" s="636"/>
      <c r="M136" s="637" t="s">
        <v>68</v>
      </c>
      <c r="N136" s="638" t="s">
        <v>7082</v>
      </c>
      <c r="O136" s="638" t="s">
        <v>7083</v>
      </c>
      <c r="P136" s="638" t="s">
        <v>7084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7340</v>
      </c>
      <c r="W136" s="634" t="s">
        <v>2462</v>
      </c>
      <c r="X136" s="634" t="str">
        <f t="shared" si="5"/>
        <v>IN-TRANSIT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7454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/>
      <c r="AM136" s="647" t="s">
        <v>402</v>
      </c>
      <c r="AN136" s="645" t="s">
        <v>7455</v>
      </c>
      <c r="AO136" s="645" t="s">
        <v>80</v>
      </c>
      <c r="AP136" s="645" t="s">
        <v>7456</v>
      </c>
      <c r="AQ136" s="634" t="s">
        <v>7457</v>
      </c>
      <c r="AR136" s="634" t="s">
        <v>7457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46290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>
      <c r="A137" s="633" t="s">
        <v>7461</v>
      </c>
      <c r="B137" s="634" t="s">
        <v>7068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7462</v>
      </c>
      <c r="K137" s="634"/>
      <c r="L137" s="636"/>
      <c r="M137" s="637" t="s">
        <v>68</v>
      </c>
      <c r="N137" s="638" t="s">
        <v>7105</v>
      </c>
      <c r="O137" s="638" t="s">
        <v>7106</v>
      </c>
      <c r="P137" s="638" t="s">
        <v>7107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7463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7464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7465</v>
      </c>
      <c r="AO137" s="645" t="s">
        <v>161</v>
      </c>
      <c r="AP137" s="645" t="s">
        <v>7466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>
      <c r="A138" s="633" t="s">
        <v>7467</v>
      </c>
      <c r="B138" s="634" t="s">
        <v>7068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7468</v>
      </c>
      <c r="K138" s="634"/>
      <c r="L138" s="636"/>
      <c r="M138" s="637" t="s">
        <v>68</v>
      </c>
      <c r="N138" s="638" t="s">
        <v>7105</v>
      </c>
      <c r="O138" s="649" t="s">
        <v>7106</v>
      </c>
      <c r="P138" s="638" t="s">
        <v>7107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7463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7464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7465</v>
      </c>
      <c r="AO138" s="645" t="s">
        <v>161</v>
      </c>
      <c r="AP138" s="645" t="s">
        <v>7466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>
      <c r="A139" s="633" t="s">
        <v>7469</v>
      </c>
      <c r="B139" s="634" t="s">
        <v>7068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7470</v>
      </c>
      <c r="K139" s="634"/>
      <c r="L139" s="636"/>
      <c r="M139" s="637" t="s">
        <v>68</v>
      </c>
      <c r="N139" s="638" t="s">
        <v>7105</v>
      </c>
      <c r="O139" s="638" t="s">
        <v>7106</v>
      </c>
      <c r="P139" s="638" t="s">
        <v>7107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7463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7464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7465</v>
      </c>
      <c r="AO139" s="645" t="s">
        <v>161</v>
      </c>
      <c r="AP139" s="645" t="s">
        <v>7466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>
      <c r="A140" s="633" t="s">
        <v>7471</v>
      </c>
      <c r="B140" s="634" t="s">
        <v>7068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7472</v>
      </c>
      <c r="K140" s="634"/>
      <c r="L140" s="636"/>
      <c r="M140" s="637" t="s">
        <v>68</v>
      </c>
      <c r="N140" s="638" t="s">
        <v>7105</v>
      </c>
      <c r="O140" s="638" t="s">
        <v>7106</v>
      </c>
      <c r="P140" s="638" t="s">
        <v>7107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7473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7474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21" t="s">
        <v>7465</v>
      </c>
      <c r="AO140" s="645" t="s">
        <v>161</v>
      </c>
      <c r="AP140" s="645" t="s">
        <v>7475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>
      <c r="A141" s="633" t="s">
        <v>7476</v>
      </c>
      <c r="B141" s="634" t="s">
        <v>7068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7477</v>
      </c>
      <c r="K141" s="634"/>
      <c r="L141" s="636"/>
      <c r="M141" s="637" t="s">
        <v>68</v>
      </c>
      <c r="N141" s="638" t="s">
        <v>7105</v>
      </c>
      <c r="O141" s="638" t="s">
        <v>7106</v>
      </c>
      <c r="P141" s="638" t="s">
        <v>7107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7478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7474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21" t="s">
        <v>7465</v>
      </c>
      <c r="AO141" s="645" t="s">
        <v>161</v>
      </c>
      <c r="AP141" s="645" t="s">
        <v>7475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>
      <c r="A142" s="633" t="s">
        <v>7479</v>
      </c>
      <c r="B142" s="634" t="s">
        <v>7068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7480</v>
      </c>
      <c r="K142" s="634"/>
      <c r="L142" s="636"/>
      <c r="M142" s="637" t="s">
        <v>68</v>
      </c>
      <c r="N142" s="638" t="s">
        <v>7105</v>
      </c>
      <c r="O142" s="638" t="s">
        <v>7106</v>
      </c>
      <c r="P142" s="638" t="s">
        <v>7107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7481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7482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7483</v>
      </c>
      <c r="AO142" s="321" t="s">
        <v>161</v>
      </c>
      <c r="AP142" s="321" t="s">
        <v>7484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>
      <c r="A143" s="352" t="s">
        <v>7485</v>
      </c>
      <c r="B143" s="341" t="s">
        <v>7068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7105</v>
      </c>
      <c r="O143" s="653" t="s">
        <v>7106</v>
      </c>
      <c r="P143" s="653" t="s">
        <v>7107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7131</v>
      </c>
      <c r="W143" s="667" t="s">
        <v>2464</v>
      </c>
      <c r="X143" s="344" t="str">
        <f t="shared" si="5"/>
        <v>IN-TRANSIT</v>
      </c>
      <c r="Y143" s="971">
        <v>46249</v>
      </c>
      <c r="Z143" s="348">
        <v>46259</v>
      </c>
      <c r="AA143" s="736">
        <f>WEEKNUM(ESS_DATA[[#This Row],[Pick-Up Date]])</f>
        <v>35</v>
      </c>
      <c r="AB143" s="1099" t="s">
        <v>7486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7483</v>
      </c>
      <c r="AO143" s="348" t="s">
        <v>161</v>
      </c>
      <c r="AP143" s="348" t="s">
        <v>7484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>
      <c r="A144" s="352" t="s">
        <v>7487</v>
      </c>
      <c r="B144" s="341" t="s">
        <v>7068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7105</v>
      </c>
      <c r="O144" s="656" t="s">
        <v>7106</v>
      </c>
      <c r="P144" s="653" t="s">
        <v>7107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7131</v>
      </c>
      <c r="W144" s="667" t="s">
        <v>2464</v>
      </c>
      <c r="X144" s="344" t="str">
        <f t="shared" si="5"/>
        <v>IN-TRANSIT</v>
      </c>
      <c r="Y144" s="971">
        <v>46249</v>
      </c>
      <c r="Z144" s="348">
        <v>46259</v>
      </c>
      <c r="AA144" s="736">
        <f>WEEKNUM(ESS_DATA[[#This Row],[Pick-Up Date]])</f>
        <v>35</v>
      </c>
      <c r="AB144" s="1099" t="s">
        <v>7486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7483</v>
      </c>
      <c r="AO144" s="348" t="s">
        <v>161</v>
      </c>
      <c r="AP144" s="348" t="s">
        <v>7484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>
      <c r="A145" s="352" t="s">
        <v>7488</v>
      </c>
      <c r="B145" s="341" t="s">
        <v>7068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7105</v>
      </c>
      <c r="O145" s="653" t="s">
        <v>7106</v>
      </c>
      <c r="P145" s="653" t="s">
        <v>7107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7311</v>
      </c>
      <c r="W145" s="667" t="s">
        <v>2464</v>
      </c>
      <c r="X145" s="344" t="str">
        <f t="shared" si="5"/>
        <v>IN-TRANSIT</v>
      </c>
      <c r="Y145" s="971">
        <v>46249</v>
      </c>
      <c r="Z145" s="348">
        <v>46259</v>
      </c>
      <c r="AA145" s="736">
        <f>WEEKNUM(ESS_DATA[[#This Row],[Pick-Up Date]])</f>
        <v>35</v>
      </c>
      <c r="AB145" s="1099" t="s">
        <v>7486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7483</v>
      </c>
      <c r="AO145" s="348" t="s">
        <v>161</v>
      </c>
      <c r="AP145" s="348" t="s">
        <v>7484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>
      <c r="A146" s="352" t="s">
        <v>7489</v>
      </c>
      <c r="B146" s="341" t="s">
        <v>7068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7082</v>
      </c>
      <c r="O146" s="653" t="s">
        <v>7083</v>
      </c>
      <c r="P146" s="653" t="s">
        <v>7084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7114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7490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7491</v>
      </c>
      <c r="AO146" s="348" t="s">
        <v>80</v>
      </c>
      <c r="AP146" s="348" t="s">
        <v>7492</v>
      </c>
      <c r="AQ146" s="341" t="s">
        <v>7493</v>
      </c>
      <c r="AR146" s="341" t="s">
        <v>7493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>
      <c r="A147" s="352" t="s">
        <v>7494</v>
      </c>
      <c r="B147" s="341" t="s">
        <v>7068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7091</v>
      </c>
      <c r="O147" s="653" t="s">
        <v>7083</v>
      </c>
      <c r="P147" s="653" t="s">
        <v>7092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7114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7490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7491</v>
      </c>
      <c r="AO147" s="348" t="s">
        <v>80</v>
      </c>
      <c r="AP147" s="348" t="s">
        <v>7492</v>
      </c>
      <c r="AQ147" s="341" t="s">
        <v>7493</v>
      </c>
      <c r="AR147" s="341" t="s">
        <v>7493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>
      <c r="A148" s="352" t="s">
        <v>7495</v>
      </c>
      <c r="B148" s="341" t="s">
        <v>7068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7094</v>
      </c>
      <c r="O148" s="653" t="s">
        <v>7291</v>
      </c>
      <c r="P148" s="653" t="s">
        <v>7096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7114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7490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7491</v>
      </c>
      <c r="AO148" s="348" t="s">
        <v>80</v>
      </c>
      <c r="AP148" s="348" t="s">
        <v>7492</v>
      </c>
      <c r="AQ148" s="341" t="s">
        <v>7493</v>
      </c>
      <c r="AR148" s="341" t="s">
        <v>7493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>
      <c r="A149" s="652" t="s">
        <v>7496</v>
      </c>
      <c r="B149" s="341" t="s">
        <v>7068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7116</v>
      </c>
      <c r="O149" s="653" t="s">
        <v>7083</v>
      </c>
      <c r="P149" s="653" t="s">
        <v>7117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7108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7497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7498</v>
      </c>
      <c r="AO149" s="348" t="s">
        <v>161</v>
      </c>
      <c r="AP149" s="348" t="s">
        <v>7499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>
      <c r="A150" s="652" t="s">
        <v>7500</v>
      </c>
      <c r="B150" s="341" t="s">
        <v>7068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7116</v>
      </c>
      <c r="O150" s="653" t="s">
        <v>7083</v>
      </c>
      <c r="P150" s="653" t="s">
        <v>7117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7108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7497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7498</v>
      </c>
      <c r="AO150" s="348" t="s">
        <v>161</v>
      </c>
      <c r="AP150" s="348" t="s">
        <v>7499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>
      <c r="A151" s="352" t="s">
        <v>7501</v>
      </c>
      <c r="B151" s="341" t="s">
        <v>7068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7082</v>
      </c>
      <c r="O151" s="653" t="s">
        <v>7083</v>
      </c>
      <c r="P151" s="653" t="s">
        <v>7084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7108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7497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7498</v>
      </c>
      <c r="AO151" s="348" t="s">
        <v>161</v>
      </c>
      <c r="AP151" s="348" t="s">
        <v>7499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>
      <c r="A152" s="352" t="s">
        <v>7502</v>
      </c>
      <c r="B152" s="341" t="s">
        <v>7068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7091</v>
      </c>
      <c r="O152" s="653" t="s">
        <v>7083</v>
      </c>
      <c r="P152" s="653" t="s">
        <v>7092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7108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7497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7498</v>
      </c>
      <c r="AO152" s="348" t="s">
        <v>161</v>
      </c>
      <c r="AP152" s="348" t="s">
        <v>7499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>
      <c r="A153" s="352" t="s">
        <v>7503</v>
      </c>
      <c r="B153" s="341" t="s">
        <v>7068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7091</v>
      </c>
      <c r="O153" s="653" t="s">
        <v>7083</v>
      </c>
      <c r="P153" s="653" t="s">
        <v>7092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7108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7497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7498</v>
      </c>
      <c r="AO153" s="348" t="s">
        <v>161</v>
      </c>
      <c r="AP153" s="348" t="s">
        <v>7499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>
      <c r="A154" s="352" t="s">
        <v>7504</v>
      </c>
      <c r="B154" s="341" t="s">
        <v>7068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7094</v>
      </c>
      <c r="O154" s="653" t="s">
        <v>7291</v>
      </c>
      <c r="P154" s="653" t="s">
        <v>7096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7108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7497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7498</v>
      </c>
      <c r="AO154" s="348" t="s">
        <v>161</v>
      </c>
      <c r="AP154" s="348" t="s">
        <v>7499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>
      <c r="A155" s="352" t="s">
        <v>7505</v>
      </c>
      <c r="B155" s="341" t="s">
        <v>7068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7094</v>
      </c>
      <c r="O155" s="653" t="s">
        <v>7291</v>
      </c>
      <c r="P155" s="653" t="s">
        <v>7096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7108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7497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7498</v>
      </c>
      <c r="AO155" s="348" t="s">
        <v>161</v>
      </c>
      <c r="AP155" s="348" t="s">
        <v>7499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>
      <c r="A156" s="352" t="s">
        <v>7506</v>
      </c>
      <c r="B156" s="341" t="s">
        <v>7068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7070</v>
      </c>
      <c r="O156" s="653" t="s">
        <v>7240</v>
      </c>
      <c r="P156" s="656" t="s">
        <v>7072</v>
      </c>
      <c r="Q156" s="340"/>
      <c r="R156" s="345">
        <v>180</v>
      </c>
      <c r="S156" s="346"/>
      <c r="T156" s="341"/>
      <c r="U156" s="347">
        <v>0.05</v>
      </c>
      <c r="V156" s="614" t="s">
        <v>7108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7497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7498</v>
      </c>
      <c r="AO156" s="348" t="s">
        <v>161</v>
      </c>
      <c r="AP156" s="348" t="s">
        <v>7499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>
      <c r="A157" s="352" t="s">
        <v>7507</v>
      </c>
      <c r="B157" s="341" t="s">
        <v>7068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7082</v>
      </c>
      <c r="O157" s="653" t="s">
        <v>7083</v>
      </c>
      <c r="P157" s="653" t="s">
        <v>7084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7118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7497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7498</v>
      </c>
      <c r="AO157" s="348" t="s">
        <v>161</v>
      </c>
      <c r="AP157" s="348" t="s">
        <v>7499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>
      <c r="A158" s="352" t="s">
        <v>7508</v>
      </c>
      <c r="B158" s="341" t="s">
        <v>7068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7094</v>
      </c>
      <c r="O158" s="653" t="s">
        <v>7291</v>
      </c>
      <c r="P158" s="653" t="s">
        <v>7096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7118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7497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7498</v>
      </c>
      <c r="AO158" s="348" t="s">
        <v>161</v>
      </c>
      <c r="AP158" s="348" t="s">
        <v>7499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>
      <c r="A159" s="352" t="s">
        <v>7509</v>
      </c>
      <c r="B159" s="341" t="s">
        <v>7068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7078</v>
      </c>
      <c r="O159" s="341" t="s">
        <v>7347</v>
      </c>
      <c r="P159" s="668" t="s">
        <v>7080</v>
      </c>
      <c r="Q159" s="340"/>
      <c r="R159" s="655">
        <v>108</v>
      </c>
      <c r="S159" s="346"/>
      <c r="T159" s="341"/>
      <c r="U159" s="347"/>
      <c r="V159" s="614" t="s">
        <v>7118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7497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7498</v>
      </c>
      <c r="AO159" s="348" t="s">
        <v>161</v>
      </c>
      <c r="AP159" s="348" t="s">
        <v>7499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>
      <c r="A160" s="352" t="s">
        <v>7510</v>
      </c>
      <c r="B160" s="341" t="s">
        <v>7068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7082</v>
      </c>
      <c r="O160" s="653" t="s">
        <v>7083</v>
      </c>
      <c r="P160" s="653" t="s">
        <v>7084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7127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7511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6243</v>
      </c>
      <c r="AO160" s="348" t="s">
        <v>80</v>
      </c>
      <c r="AP160" s="348" t="s">
        <v>7512</v>
      </c>
      <c r="AQ160" s="341" t="s">
        <v>7513</v>
      </c>
      <c r="AR160" s="341" t="s">
        <v>7513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>
      <c r="A161" s="352" t="s">
        <v>7514</v>
      </c>
      <c r="B161" s="341" t="s">
        <v>7068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7094</v>
      </c>
      <c r="O161" s="653" t="s">
        <v>7291</v>
      </c>
      <c r="P161" s="653" t="s">
        <v>7096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7127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7511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6243</v>
      </c>
      <c r="AO161" s="348" t="s">
        <v>80</v>
      </c>
      <c r="AP161" s="348" t="s">
        <v>7512</v>
      </c>
      <c r="AQ161" s="341" t="s">
        <v>7513</v>
      </c>
      <c r="AR161" s="341" t="s">
        <v>7513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>
      <c r="A162" s="352" t="s">
        <v>7510</v>
      </c>
      <c r="B162" s="341" t="s">
        <v>7068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7082</v>
      </c>
      <c r="O162" s="653" t="s">
        <v>7083</v>
      </c>
      <c r="P162" s="653" t="s">
        <v>7084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7340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7511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6243</v>
      </c>
      <c r="AO162" s="348" t="s">
        <v>80</v>
      </c>
      <c r="AP162" s="348" t="s">
        <v>7512</v>
      </c>
      <c r="AQ162" s="341" t="s">
        <v>7513</v>
      </c>
      <c r="AR162" s="341" t="s">
        <v>7513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>
      <c r="A163" s="352" t="s">
        <v>7514</v>
      </c>
      <c r="B163" s="341" t="s">
        <v>7068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7094</v>
      </c>
      <c r="O163" s="653" t="s">
        <v>7291</v>
      </c>
      <c r="P163" s="653" t="s">
        <v>7096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7340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7511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6243</v>
      </c>
      <c r="AO163" s="348" t="s">
        <v>80</v>
      </c>
      <c r="AP163" s="348" t="s">
        <v>7512</v>
      </c>
      <c r="AQ163" s="341" t="s">
        <v>7513</v>
      </c>
      <c r="AR163" s="341" t="s">
        <v>7513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>
      <c r="A164" s="352" t="s">
        <v>7515</v>
      </c>
      <c r="B164" s="341" t="s">
        <v>7068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7082</v>
      </c>
      <c r="O164" s="653" t="s">
        <v>7083</v>
      </c>
      <c r="P164" s="653" t="s">
        <v>7084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7353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7511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6243</v>
      </c>
      <c r="AO164" s="348" t="s">
        <v>80</v>
      </c>
      <c r="AP164" s="348" t="s">
        <v>7512</v>
      </c>
      <c r="AQ164" s="341" t="s">
        <v>7513</v>
      </c>
      <c r="AR164" s="341" t="s">
        <v>7513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>
      <c r="A165" s="352" t="s">
        <v>7516</v>
      </c>
      <c r="B165" s="341" t="s">
        <v>7068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7094</v>
      </c>
      <c r="O165" s="653" t="s">
        <v>7291</v>
      </c>
      <c r="P165" s="653" t="s">
        <v>7096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7353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7511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6243</v>
      </c>
      <c r="AO165" s="348" t="s">
        <v>80</v>
      </c>
      <c r="AP165" s="348" t="s">
        <v>7512</v>
      </c>
      <c r="AQ165" s="341" t="s">
        <v>7513</v>
      </c>
      <c r="AR165" s="341" t="s">
        <v>7513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>
      <c r="A166" s="352" t="s">
        <v>7517</v>
      </c>
      <c r="B166" s="341" t="s">
        <v>7068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7105</v>
      </c>
      <c r="O166" s="653" t="s">
        <v>7106</v>
      </c>
      <c r="P166" s="653" t="s">
        <v>7107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7518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7519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46284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7520</v>
      </c>
      <c r="AO166" s="348" t="s">
        <v>161</v>
      </c>
      <c r="AP166" s="348" t="s">
        <v>7521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>
      <c r="A167" s="352" t="s">
        <v>7522</v>
      </c>
      <c r="B167" s="341" t="s">
        <v>7068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7082</v>
      </c>
      <c r="O167" s="653" t="s">
        <v>7083</v>
      </c>
      <c r="P167" s="653" t="s">
        <v>7084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7523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1270" t="s">
        <v>7524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6493</v>
      </c>
      <c r="AO167" s="348" t="s">
        <v>80</v>
      </c>
      <c r="AP167" s="348" t="s">
        <v>7525</v>
      </c>
      <c r="AQ167" s="341" t="s">
        <v>7526</v>
      </c>
      <c r="AR167" s="341" t="s">
        <v>7526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>
      <c r="A168" s="352" t="s">
        <v>7527</v>
      </c>
      <c r="B168" s="341" t="s">
        <v>7068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7094</v>
      </c>
      <c r="O168" s="653" t="s">
        <v>7291</v>
      </c>
      <c r="P168" s="653" t="s">
        <v>7096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7523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1270" t="s">
        <v>7524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6493</v>
      </c>
      <c r="AO168" s="348" t="s">
        <v>80</v>
      </c>
      <c r="AP168" s="348" t="s">
        <v>7525</v>
      </c>
      <c r="AQ168" s="341" t="s">
        <v>7526</v>
      </c>
      <c r="AR168" s="341" t="s">
        <v>7526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>
      <c r="A169" s="352" t="s">
        <v>7528</v>
      </c>
      <c r="B169" s="341" t="s">
        <v>7068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7082</v>
      </c>
      <c r="O169" s="653" t="s">
        <v>7083</v>
      </c>
      <c r="P169" s="653" t="s">
        <v>7084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7529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1270" t="s">
        <v>7524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6493</v>
      </c>
      <c r="AO169" s="348" t="s">
        <v>80</v>
      </c>
      <c r="AP169" s="348" t="s">
        <v>7525</v>
      </c>
      <c r="AQ169" s="341" t="s">
        <v>7526</v>
      </c>
      <c r="AR169" s="341" t="s">
        <v>7526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customHeight="1">
      <c r="A170" s="352" t="s">
        <v>7530</v>
      </c>
      <c r="B170" s="341" t="s">
        <v>7068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7094</v>
      </c>
      <c r="O170" s="653" t="s">
        <v>7291</v>
      </c>
      <c r="P170" s="653" t="s">
        <v>7096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7529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1270" t="s">
        <v>7524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6493</v>
      </c>
      <c r="AO170" s="348" t="s">
        <v>80</v>
      </c>
      <c r="AP170" s="348" t="s">
        <v>7525</v>
      </c>
      <c r="AQ170" s="341" t="s">
        <v>7526</v>
      </c>
      <c r="AR170" s="341" t="s">
        <v>7526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customHeight="1">
      <c r="A171" s="352" t="s">
        <v>7531</v>
      </c>
      <c r="B171" s="341" t="s">
        <v>7068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7518</v>
      </c>
      <c r="L171" s="341"/>
      <c r="M171" s="343" t="s">
        <v>68</v>
      </c>
      <c r="N171" s="653" t="s">
        <v>7105</v>
      </c>
      <c r="O171" s="653" t="s">
        <v>7106</v>
      </c>
      <c r="P171" s="653" t="s">
        <v>7107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7532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271" t="s">
        <v>7533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>
        <v>46279</v>
      </c>
      <c r="AJ171" s="348">
        <v>46316</v>
      </c>
      <c r="AK171" s="348">
        <v>46330</v>
      </c>
      <c r="AL171" s="348"/>
      <c r="AM171" s="344" t="s">
        <v>402</v>
      </c>
      <c r="AN171" s="344" t="s">
        <v>7534</v>
      </c>
      <c r="AO171" s="348" t="s">
        <v>161</v>
      </c>
      <c r="AP171" s="348" t="s">
        <v>7535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customHeight="1">
      <c r="A172" s="352" t="s">
        <v>7536</v>
      </c>
      <c r="B172" s="341" t="s">
        <v>7068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7518</v>
      </c>
      <c r="L172" s="341"/>
      <c r="M172" s="343" t="s">
        <v>68</v>
      </c>
      <c r="N172" s="653" t="s">
        <v>7105</v>
      </c>
      <c r="O172" s="653" t="s">
        <v>7106</v>
      </c>
      <c r="P172" s="653" t="s">
        <v>7107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7537</v>
      </c>
      <c r="W172" s="667" t="s">
        <v>2467</v>
      </c>
      <c r="X172" s="348"/>
      <c r="Y172" s="666">
        <v>46267</v>
      </c>
      <c r="Z172" s="350">
        <v>46282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7538</v>
      </c>
      <c r="AO172" s="348" t="s">
        <v>161</v>
      </c>
      <c r="AP172" s="348" t="s">
        <v>7539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customHeight="1">
      <c r="A173" s="352" t="s">
        <v>7540</v>
      </c>
      <c r="B173" s="341" t="s">
        <v>7068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7518</v>
      </c>
      <c r="L173" s="341"/>
      <c r="M173" s="343" t="s">
        <v>68</v>
      </c>
      <c r="N173" s="653" t="s">
        <v>7105</v>
      </c>
      <c r="O173" s="653" t="s">
        <v>7106</v>
      </c>
      <c r="P173" s="653" t="s">
        <v>7107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7541</v>
      </c>
      <c r="W173" s="667" t="s">
        <v>2468</v>
      </c>
      <c r="X173" s="348"/>
      <c r="Y173" s="666">
        <v>46272</v>
      </c>
      <c r="Z173" s="350">
        <v>46283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46289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7542</v>
      </c>
      <c r="AO173" s="348" t="s">
        <v>161</v>
      </c>
      <c r="AP173" s="344" t="s">
        <v>7543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8" customFormat="1" ht="13.5" customHeight="1">
      <c r="A174" s="894" t="s">
        <v>7544</v>
      </c>
      <c r="B174" s="895" t="s">
        <v>7545</v>
      </c>
      <c r="C174" s="895" t="str">
        <f>IFERROR(LEFT(ESS_DATA[[#This Row],[TCL REFERENCE]],FIND(".",ESS_DATA[[#This Row],[TCL REFERENCE]],1)-1),"Main Line")</f>
        <v>Main Line</v>
      </c>
      <c r="D174" s="895" t="s">
        <v>63</v>
      </c>
      <c r="E174" s="895" t="s">
        <v>64</v>
      </c>
      <c r="F174" s="896" t="s">
        <v>100</v>
      </c>
      <c r="G174" s="895" t="s">
        <v>402</v>
      </c>
      <c r="H174" s="895" t="s">
        <v>67</v>
      </c>
      <c r="I174" s="896"/>
      <c r="J174" s="895"/>
      <c r="K174" s="895"/>
      <c r="L174" s="897"/>
      <c r="M174" s="898" t="s">
        <v>68</v>
      </c>
      <c r="N174" s="899" t="s">
        <v>7546</v>
      </c>
      <c r="O174" s="894" t="s">
        <v>7547</v>
      </c>
      <c r="P174" s="894" t="s">
        <v>7548</v>
      </c>
      <c r="Q174" s="900"/>
      <c r="R174" s="901">
        <v>30</v>
      </c>
      <c r="S174" s="902"/>
      <c r="T174" s="895"/>
      <c r="U174" s="903">
        <f>ESS_DATA[[#This Row],[QUANTITY]]/10</f>
        <v>3</v>
      </c>
      <c r="V174" s="904" t="s">
        <v>7549</v>
      </c>
      <c r="W174" s="895" t="s">
        <v>7550</v>
      </c>
      <c r="X174" s="895" t="str">
        <f t="shared" ref="X174:X185" si="7">IF(AL174&lt;&gt;"","COMPLETED",IF(AI174&lt;&gt;"","IN-TRANSIT",""))</f>
        <v>IN-TRANSIT</v>
      </c>
      <c r="Y174" s="961">
        <v>46251</v>
      </c>
      <c r="Z174" s="905">
        <v>46260</v>
      </c>
      <c r="AA174" s="906">
        <f>WEEKNUM(ESS_DATA[[#This Row],[Pick-Up Date]])</f>
        <v>35</v>
      </c>
      <c r="AB174" s="895" t="s">
        <v>7551</v>
      </c>
      <c r="AC174" s="895"/>
      <c r="AD174" s="895" t="s">
        <v>7235</v>
      </c>
      <c r="AE174" s="895" t="s">
        <v>7235</v>
      </c>
      <c r="AF174" s="895" t="s">
        <v>105</v>
      </c>
      <c r="AG174" s="905">
        <v>46264</v>
      </c>
      <c r="AH174" s="905">
        <v>46267</v>
      </c>
      <c r="AI174" s="905">
        <v>46267</v>
      </c>
      <c r="AJ174" s="905">
        <v>46295</v>
      </c>
      <c r="AK174" s="905">
        <v>46298</v>
      </c>
      <c r="AL174" s="905"/>
      <c r="AM174" s="905" t="s">
        <v>402</v>
      </c>
      <c r="AN174" s="905" t="s">
        <v>5880</v>
      </c>
      <c r="AO174" s="905" t="s">
        <v>161</v>
      </c>
      <c r="AP174" s="905" t="s">
        <v>7552</v>
      </c>
      <c r="AQ174" s="1025" t="s">
        <v>7553</v>
      </c>
      <c r="AR174" s="1025" t="s">
        <v>7554</v>
      </c>
      <c r="AS174" s="895">
        <f>ESS_DATA[[#This Row],[ETA On S/O]]-ESS_DATA[[#This Row],[ETD On S/O]]+1</f>
        <v>32</v>
      </c>
      <c r="AT174" s="895"/>
      <c r="AU174" s="90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5">
        <f>IF(ESS_DATA[[#This Row],[New Ark PO Type]]="Offshore",0,IFERROR(VLOOKUP(ESS_DATA[[#This Row],[PORT OF LOADING]]&amp;ESS_DATA[[#This Row],[PORT DESTINATION]],LT_REF[],7,0),14))</f>
        <v>14</v>
      </c>
      <c r="AY174" s="905">
        <f>IFERROR(ESS_DATA[[#This Row],[ODP ETA Port]]+ESS_DATA[[#This Row],[Customs/Leg3 Assumption]],"n/a")</f>
        <v>46312</v>
      </c>
      <c r="AZ174" s="896">
        <f>YEAR(ESS_DATA[[#This Row],[ETA for New Ark update]])</f>
        <v>2026</v>
      </c>
      <c r="BA174" s="896">
        <f>MONTH(ESS_DATA[[#This Row],[ETA for New Ark update]])</f>
        <v>10</v>
      </c>
      <c r="BB174" s="896">
        <f>IFERROR(_xlfn.ISOWEEKNUM(ESS_DATA[[#This Row],[ETA for New Ark update]]),0)</f>
        <v>42</v>
      </c>
      <c r="BC174" s="896" t="str">
        <f>_xlfn.XLOOKUP(ESS_DATA[[#This Row],[PORT DESTINATION]],Table12[PORT DESTINATION],Table12[Cosco Line],,0)</f>
        <v>AEU</v>
      </c>
      <c r="BD174" s="896"/>
      <c r="BE174" s="907"/>
      <c r="BF174" s="907"/>
      <c r="BG174" s="907"/>
      <c r="BH174" s="907"/>
      <c r="BI174" s="907"/>
    </row>
    <row r="175" spans="1:61" s="893" customFormat="1" ht="15.75" customHeight="1">
      <c r="A175" s="879" t="s">
        <v>7555</v>
      </c>
      <c r="B175" s="880" t="s">
        <v>7556</v>
      </c>
      <c r="C175" s="880" t="str">
        <f>IFERROR(LEFT(ESS_DATA[[#This Row],[TCL REFERENCE]],FIND(".",ESS_DATA[[#This Row],[TCL REFERENCE]],1)-1),"Main Line")</f>
        <v>Main Line</v>
      </c>
      <c r="D175" s="881" t="s">
        <v>68</v>
      </c>
      <c r="E175" s="881" t="s">
        <v>68</v>
      </c>
      <c r="F175" s="881" t="s">
        <v>68</v>
      </c>
      <c r="G175" s="880"/>
      <c r="H175" s="880" t="s">
        <v>7273</v>
      </c>
      <c r="I175" s="880"/>
      <c r="J175" s="882" t="s">
        <v>949</v>
      </c>
      <c r="K175" s="880"/>
      <c r="L175" s="883"/>
      <c r="M175" s="884" t="s">
        <v>68</v>
      </c>
      <c r="N175" s="882" t="s">
        <v>7274</v>
      </c>
      <c r="O175" s="882" t="s">
        <v>7232</v>
      </c>
      <c r="P175" s="882" t="s">
        <v>7233</v>
      </c>
      <c r="Q175" s="885"/>
      <c r="R175" s="886">
        <v>3</v>
      </c>
      <c r="S175" s="887"/>
      <c r="T175" s="880"/>
      <c r="U175" s="888">
        <f>ESS_DATA[[#This Row],[QUANTITY]]/16</f>
        <v>0.1875</v>
      </c>
      <c r="V175" s="889" t="s">
        <v>7557</v>
      </c>
      <c r="W175" s="880" t="s">
        <v>7558</v>
      </c>
      <c r="X175" s="882" t="str">
        <f t="shared" si="7"/>
        <v/>
      </c>
      <c r="Y175" s="890">
        <v>46231</v>
      </c>
      <c r="Z175" s="890"/>
      <c r="AA175" s="891">
        <f>WEEKNUM(ESS_DATA[[#This Row],[Pick-Up Date]])</f>
        <v>0</v>
      </c>
      <c r="AB175" s="880"/>
      <c r="AC175" s="880"/>
      <c r="AD175" s="884" t="s">
        <v>288</v>
      </c>
      <c r="AE175" s="884" t="s">
        <v>288</v>
      </c>
      <c r="AF175" s="880" t="s">
        <v>7559</v>
      </c>
      <c r="AG175" s="890"/>
      <c r="AH175" s="890"/>
      <c r="AI175" s="890"/>
      <c r="AJ175" s="890"/>
      <c r="AK175" s="890"/>
      <c r="AL175" s="890"/>
      <c r="AM175" s="882" t="s">
        <v>402</v>
      </c>
      <c r="AN175" s="890"/>
      <c r="AO175" s="890"/>
      <c r="AP175" s="890"/>
      <c r="AQ175" s="880"/>
      <c r="AR175" s="880"/>
      <c r="AS175" s="880">
        <f>ESS_DATA[[#This Row],[ETA On S/O]]-ESS_DATA[[#This Row],[ETD On S/O]]+1</f>
        <v>1</v>
      </c>
      <c r="AT175" s="880"/>
      <c r="AU175" s="89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0">
        <f>IF(ESS_DATA[[#This Row],[New Ark PO Type]]="Offshore",0,IFERROR(VLOOKUP(ESS_DATA[[#This Row],[PORT OF LOADING]]&amp;ESS_DATA[[#This Row],[PORT DESTINATION]],LT_REF[],7,0),14))</f>
        <v>14</v>
      </c>
      <c r="AY175" s="890">
        <f>IFERROR(ESS_DATA[[#This Row],[ODP ETA Port]]+ESS_DATA[[#This Row],[Customs/Leg3 Assumption]],"n/a")</f>
        <v>14</v>
      </c>
      <c r="AZ175" s="882">
        <f>YEAR(ESS_DATA[[#This Row],[ETA for New Ark update]])</f>
        <v>1900</v>
      </c>
      <c r="BA175" s="882">
        <f>MONTH(ESS_DATA[[#This Row],[ETA for New Ark update]])</f>
        <v>1</v>
      </c>
      <c r="BB175" s="882">
        <f>IFERROR(_xlfn.ISOWEEKNUM(ESS_DATA[[#This Row],[ETA for New Ark update]]),0)</f>
        <v>2</v>
      </c>
      <c r="BC175" s="882" t="e">
        <f>_xlfn.XLOOKUP(ESS_DATA[[#This Row],[PORT DESTINATION]],Table12[PORT DESTINATION],Table12[Cosco Line],,0)</f>
        <v>#N/A</v>
      </c>
      <c r="BD175" s="882"/>
      <c r="BE175" s="892"/>
      <c r="BF175" s="892"/>
      <c r="BG175" s="892"/>
      <c r="BH175" s="892"/>
      <c r="BI175" s="892"/>
    </row>
    <row r="176" spans="1:61" s="693" customFormat="1" ht="13.5" customHeight="1">
      <c r="A176" s="172" t="s">
        <v>7560</v>
      </c>
      <c r="B176" s="41" t="s">
        <v>7556</v>
      </c>
      <c r="C176" s="41" t="str">
        <f>IFERROR(LEFT(ESS_DATA[[#This Row],[TCL REFERENCE]],FIND(".",ESS_DATA[[#This Row],[TCL REFERENCE]],1)-1),"Main Line")</f>
        <v>26AUG010</v>
      </c>
      <c r="D176" s="531" t="s">
        <v>68</v>
      </c>
      <c r="E176" s="531" t="s">
        <v>68</v>
      </c>
      <c r="F176" s="531" t="s">
        <v>68</v>
      </c>
      <c r="G176" s="41"/>
      <c r="H176" s="41" t="s">
        <v>7273</v>
      </c>
      <c r="I176" s="492"/>
      <c r="J176" s="41" t="s">
        <v>949</v>
      </c>
      <c r="K176" s="41"/>
      <c r="L176" s="537"/>
      <c r="M176" s="225"/>
      <c r="N176" s="694" t="s">
        <v>7561</v>
      </c>
      <c r="O176" s="694" t="s">
        <v>7562</v>
      </c>
      <c r="P176" s="694" t="s">
        <v>7563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7564</v>
      </c>
      <c r="W176" s="876" t="s">
        <v>7565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6875</v>
      </c>
      <c r="AC176" s="41"/>
      <c r="AD176" s="225" t="s">
        <v>288</v>
      </c>
      <c r="AE176" s="225" t="s">
        <v>288</v>
      </c>
      <c r="AF176" s="41" t="s">
        <v>7559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7566</v>
      </c>
      <c r="AO176" s="37" t="s">
        <v>161</v>
      </c>
      <c r="AP176" s="41" t="s">
        <v>6875</v>
      </c>
      <c r="AQ176" s="41" t="s">
        <v>7567</v>
      </c>
      <c r="AR176" s="41" t="s">
        <v>7567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customHeight="1">
      <c r="A177" s="172" t="s">
        <v>7568</v>
      </c>
      <c r="B177" s="41" t="s">
        <v>7556</v>
      </c>
      <c r="C177" s="41" t="str">
        <f>IFERROR(LEFT(ESS_DATA[[#This Row],[TCL REFERENCE]],FIND(".",ESS_DATA[[#This Row],[TCL REFERENCE]],1)-1),"Main Line")</f>
        <v>26AUG011</v>
      </c>
      <c r="D177" s="531" t="s">
        <v>68</v>
      </c>
      <c r="E177" s="531" t="s">
        <v>68</v>
      </c>
      <c r="F177" s="531" t="s">
        <v>68</v>
      </c>
      <c r="G177" s="41"/>
      <c r="H177" s="41" t="s">
        <v>7273</v>
      </c>
      <c r="I177" s="492"/>
      <c r="J177" s="41" t="s">
        <v>949</v>
      </c>
      <c r="K177" s="41"/>
      <c r="L177" s="537"/>
      <c r="M177" s="225"/>
      <c r="N177" s="694" t="s">
        <v>7569</v>
      </c>
      <c r="O177" s="694" t="s">
        <v>7570</v>
      </c>
      <c r="P177" s="694" t="s">
        <v>7571</v>
      </c>
      <c r="Q177" s="691"/>
      <c r="R177" s="692">
        <v>53</v>
      </c>
      <c r="S177" s="497"/>
      <c r="T177" s="41"/>
      <c r="U177" s="493">
        <f>ESS_DATA[[#This Row],[QUANTITY]]/124</f>
        <v>0.42741935483870969</v>
      </c>
      <c r="V177" s="532" t="s">
        <v>7564</v>
      </c>
      <c r="W177" s="876" t="s">
        <v>7565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6875</v>
      </c>
      <c r="AC177" s="41"/>
      <c r="AD177" s="225" t="s">
        <v>288</v>
      </c>
      <c r="AE177" s="225" t="s">
        <v>288</v>
      </c>
      <c r="AF177" s="41" t="s">
        <v>7559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7566</v>
      </c>
      <c r="AO177" s="37" t="s">
        <v>161</v>
      </c>
      <c r="AP177" s="41" t="s">
        <v>6875</v>
      </c>
      <c r="AQ177" s="41" t="s">
        <v>7567</v>
      </c>
      <c r="AR177" s="41" t="s">
        <v>7567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customHeight="1">
      <c r="A178" s="172" t="s">
        <v>7572</v>
      </c>
      <c r="B178" s="41" t="s">
        <v>7556</v>
      </c>
      <c r="C178" s="41" t="str">
        <f>IFERROR(LEFT(ESS_DATA[[#This Row],[TCL REFERENCE]],FIND(".",ESS_DATA[[#This Row],[TCL REFERENCE]],1)-1),"Main Line")</f>
        <v>Main Line</v>
      </c>
      <c r="D178" s="531" t="s">
        <v>68</v>
      </c>
      <c r="E178" s="531" t="s">
        <v>68</v>
      </c>
      <c r="F178" s="531" t="s">
        <v>68</v>
      </c>
      <c r="G178" s="41"/>
      <c r="H178" s="41" t="s">
        <v>7273</v>
      </c>
      <c r="I178" s="492"/>
      <c r="J178" s="41" t="s">
        <v>949</v>
      </c>
      <c r="K178" s="41"/>
      <c r="L178" s="537"/>
      <c r="M178" s="225"/>
      <c r="N178" s="694" t="s">
        <v>7573</v>
      </c>
      <c r="O178" s="694" t="s">
        <v>7574</v>
      </c>
      <c r="P178" s="694" t="s">
        <v>7575</v>
      </c>
      <c r="Q178" s="496"/>
      <c r="R178" s="492">
        <v>16</v>
      </c>
      <c r="S178" s="497"/>
      <c r="T178" s="41"/>
      <c r="U178" s="493">
        <f>ESS_DATA[[#This Row],[QUANTITY]]/124</f>
        <v>0.12903225806451613</v>
      </c>
      <c r="V178" s="532" t="s">
        <v>7564</v>
      </c>
      <c r="W178" s="876" t="s">
        <v>7565</v>
      </c>
      <c r="X178" s="877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6875</v>
      </c>
      <c r="AC178" s="41"/>
      <c r="AD178" s="225" t="s">
        <v>288</v>
      </c>
      <c r="AE178" s="225" t="s">
        <v>288</v>
      </c>
      <c r="AF178" s="41" t="s">
        <v>7559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7566</v>
      </c>
      <c r="AO178" s="37" t="s">
        <v>161</v>
      </c>
      <c r="AP178" s="41" t="s">
        <v>6875</v>
      </c>
      <c r="AQ178" s="41" t="s">
        <v>7567</v>
      </c>
      <c r="AR178" s="41" t="s">
        <v>7567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customHeight="1">
      <c r="A179" s="172" t="s">
        <v>7576</v>
      </c>
      <c r="B179" s="41" t="s">
        <v>7556</v>
      </c>
      <c r="C179" s="41" t="str">
        <f>IFERROR(LEFT(ESS_DATA[[#This Row],[TCL REFERENCE]],FIND(".",ESS_DATA[[#This Row],[TCL REFERENCE]],1)-1),"Main Line")</f>
        <v>26AUG010</v>
      </c>
      <c r="D179" s="531" t="s">
        <v>68</v>
      </c>
      <c r="E179" s="531" t="s">
        <v>68</v>
      </c>
      <c r="F179" s="531" t="s">
        <v>68</v>
      </c>
      <c r="G179" s="41"/>
      <c r="H179" s="41" t="s">
        <v>7273</v>
      </c>
      <c r="I179" s="492"/>
      <c r="J179" s="41" t="s">
        <v>949</v>
      </c>
      <c r="K179" s="41"/>
      <c r="L179" s="537"/>
      <c r="M179" s="225"/>
      <c r="N179" s="694" t="s">
        <v>7561</v>
      </c>
      <c r="O179" s="694" t="s">
        <v>7562</v>
      </c>
      <c r="P179" s="694" t="s">
        <v>7563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7564</v>
      </c>
      <c r="W179" s="876" t="s">
        <v>7565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6875</v>
      </c>
      <c r="AC179" s="41"/>
      <c r="AD179" s="225" t="s">
        <v>288</v>
      </c>
      <c r="AE179" s="225" t="s">
        <v>288</v>
      </c>
      <c r="AF179" s="41" t="s">
        <v>7559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7566</v>
      </c>
      <c r="AO179" s="37" t="s">
        <v>161</v>
      </c>
      <c r="AP179" s="41" t="s">
        <v>6875</v>
      </c>
      <c r="AQ179" s="41" t="s">
        <v>7567</v>
      </c>
      <c r="AR179" s="41" t="s">
        <v>7567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3" customFormat="1" ht="15.75" customHeight="1">
      <c r="A180" s="172" t="s">
        <v>7577</v>
      </c>
      <c r="B180" s="41" t="s">
        <v>7556</v>
      </c>
      <c r="C180" s="41" t="str">
        <f>IFERROR(LEFT(ESS_DATA[[#This Row],[TCL REFERENCE]],FIND(".",ESS_DATA[[#This Row],[TCL REFERENCE]],1)-1),"Main Line")</f>
        <v>26AUG011</v>
      </c>
      <c r="D180" s="531" t="s">
        <v>68</v>
      </c>
      <c r="E180" s="531" t="s">
        <v>68</v>
      </c>
      <c r="F180" s="531" t="s">
        <v>68</v>
      </c>
      <c r="G180" s="41"/>
      <c r="H180" s="41" t="s">
        <v>7273</v>
      </c>
      <c r="I180" s="492"/>
      <c r="J180" s="41" t="s">
        <v>949</v>
      </c>
      <c r="K180" s="41"/>
      <c r="L180" s="537"/>
      <c r="M180" s="225"/>
      <c r="N180" s="694" t="s">
        <v>7569</v>
      </c>
      <c r="O180" s="694" t="s">
        <v>7570</v>
      </c>
      <c r="P180" s="694" t="s">
        <v>7571</v>
      </c>
      <c r="Q180" s="496"/>
      <c r="R180" s="492">
        <v>1</v>
      </c>
      <c r="S180" s="497"/>
      <c r="T180" s="41"/>
      <c r="U180" s="493">
        <f>ESS_DATA[[#This Row],[QUANTITY]]/124</f>
        <v>8.0645161290322578E-3</v>
      </c>
      <c r="V180" s="532" t="s">
        <v>7564</v>
      </c>
      <c r="W180" s="876" t="s">
        <v>7565</v>
      </c>
      <c r="X180" s="178" t="str">
        <f t="shared" si="7"/>
        <v>COMPLETED</v>
      </c>
      <c r="Y180" s="878">
        <v>46252</v>
      </c>
      <c r="Z180" s="37">
        <v>46255</v>
      </c>
      <c r="AA180" s="494">
        <f>WEEKNUM(ESS_DATA[[#This Row],[Pick-Up Date]])</f>
        <v>34</v>
      </c>
      <c r="AB180" s="41" t="s">
        <v>6875</v>
      </c>
      <c r="AC180" s="41"/>
      <c r="AD180" s="225" t="s">
        <v>288</v>
      </c>
      <c r="AE180" s="225" t="s">
        <v>288</v>
      </c>
      <c r="AF180" s="41" t="s">
        <v>7559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1" t="s">
        <v>402</v>
      </c>
      <c r="AN180" s="37" t="s">
        <v>7566</v>
      </c>
      <c r="AO180" s="37" t="s">
        <v>161</v>
      </c>
      <c r="AP180" s="41" t="s">
        <v>6875</v>
      </c>
      <c r="AQ180" s="41" t="s">
        <v>7567</v>
      </c>
      <c r="AR180" s="41" t="s">
        <v>7567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55" customFormat="1" ht="15.75" customHeight="1">
      <c r="A181" s="740" t="s">
        <v>7578</v>
      </c>
      <c r="B181" s="741" t="s">
        <v>7068</v>
      </c>
      <c r="C181" s="741" t="str">
        <f>IFERROR(LEFT(ESS_DATA[[#This Row],[TCL REFERENCE]],FIND(".",ESS_DATA[[#This Row],[TCL REFERENCE]],1)-1),"Main Line")</f>
        <v>26SEP002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7082</v>
      </c>
      <c r="O181" s="747" t="s">
        <v>7083</v>
      </c>
      <c r="P181" s="747" t="s">
        <v>7084</v>
      </c>
      <c r="Q181" s="748"/>
      <c r="R181" s="744">
        <v>46</v>
      </c>
      <c r="S181" s="1020"/>
      <c r="T181" s="741"/>
      <c r="U181" s="750">
        <f>ESS_DATA[[#This Row],[QUANTITY]]/264</f>
        <v>0.17424242424242425</v>
      </c>
      <c r="V181" s="751" t="s">
        <v>7108</v>
      </c>
      <c r="W181" s="914" t="s">
        <v>7579</v>
      </c>
      <c r="X181" s="743" t="str">
        <f t="shared" si="7"/>
        <v/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7580</v>
      </c>
      <c r="AC181" s="741"/>
      <c r="AD181" s="1027" t="s">
        <v>122</v>
      </c>
      <c r="AE181" s="1027" t="s">
        <v>122</v>
      </c>
      <c r="AF181" s="1027" t="s">
        <v>124</v>
      </c>
      <c r="AG181" s="752">
        <v>46266</v>
      </c>
      <c r="AH181" s="752">
        <v>46281</v>
      </c>
      <c r="AI181" s="752"/>
      <c r="AJ181" s="752">
        <v>46306</v>
      </c>
      <c r="AK181" s="752">
        <v>46313</v>
      </c>
      <c r="AL181" s="752"/>
      <c r="AM181" s="742" t="s">
        <v>402</v>
      </c>
      <c r="AN181" s="752" t="s">
        <v>7581</v>
      </c>
      <c r="AO181" s="752" t="s">
        <v>161</v>
      </c>
      <c r="AP181" s="752" t="s">
        <v>7582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customHeight="1">
      <c r="A182" s="740" t="s">
        <v>7583</v>
      </c>
      <c r="B182" s="741" t="s">
        <v>7068</v>
      </c>
      <c r="C182" s="741" t="str">
        <f>IFERROR(LEFT(ESS_DATA[[#This Row],[TCL REFERENCE]],FIND(".",ESS_DATA[[#This Row],[TCL REFERENCE]],1)-1),"Main Line")</f>
        <v>26SEP003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7091</v>
      </c>
      <c r="O182" s="747" t="s">
        <v>7083</v>
      </c>
      <c r="P182" s="747" t="s">
        <v>7092</v>
      </c>
      <c r="Q182" s="748"/>
      <c r="R182" s="744">
        <v>20</v>
      </c>
      <c r="S182" s="1020"/>
      <c r="T182" s="741"/>
      <c r="U182" s="750">
        <f>ESS_DATA[[#This Row],[QUANTITY]]/264</f>
        <v>7.575757575757576E-2</v>
      </c>
      <c r="V182" s="751" t="s">
        <v>7108</v>
      </c>
      <c r="W182" s="914" t="s">
        <v>7579</v>
      </c>
      <c r="X182" s="743" t="str">
        <f t="shared" si="7"/>
        <v/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7580</v>
      </c>
      <c r="AC182" s="741"/>
      <c r="AD182" s="1027" t="s">
        <v>122</v>
      </c>
      <c r="AE182" s="1027" t="s">
        <v>122</v>
      </c>
      <c r="AF182" s="1027" t="s">
        <v>124</v>
      </c>
      <c r="AG182" s="752">
        <v>46266</v>
      </c>
      <c r="AH182" s="752">
        <v>46281</v>
      </c>
      <c r="AI182" s="752"/>
      <c r="AJ182" s="752">
        <v>46306</v>
      </c>
      <c r="AK182" s="752">
        <v>46313</v>
      </c>
      <c r="AL182" s="752"/>
      <c r="AM182" s="742" t="s">
        <v>402</v>
      </c>
      <c r="AN182" s="752" t="s">
        <v>7581</v>
      </c>
      <c r="AO182" s="752" t="s">
        <v>161</v>
      </c>
      <c r="AP182" s="752" t="s">
        <v>7582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customHeight="1">
      <c r="A183" s="740" t="s">
        <v>7584</v>
      </c>
      <c r="B183" s="741" t="s">
        <v>7068</v>
      </c>
      <c r="C183" s="741" t="str">
        <f>IFERROR(LEFT(ESS_DATA[[#This Row],[TCL REFERENCE]],FIND(".",ESS_DATA[[#This Row],[TCL REFERENCE]],1)-1),"Main Line")</f>
        <v>26SEP004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7094</v>
      </c>
      <c r="O183" s="747" t="s">
        <v>7291</v>
      </c>
      <c r="P183" s="747" t="s">
        <v>7096</v>
      </c>
      <c r="Q183" s="748"/>
      <c r="R183" s="744">
        <v>66</v>
      </c>
      <c r="S183" s="1020"/>
      <c r="T183" s="741"/>
      <c r="U183" s="750">
        <f>ESS_DATA[[#This Row],[QUANTITY]]/264</f>
        <v>0.25</v>
      </c>
      <c r="V183" s="751" t="s">
        <v>7108</v>
      </c>
      <c r="W183" s="914" t="s">
        <v>7579</v>
      </c>
      <c r="X183" s="743" t="str">
        <f t="shared" si="7"/>
        <v/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7580</v>
      </c>
      <c r="AC183" s="741"/>
      <c r="AD183" s="1027" t="s">
        <v>122</v>
      </c>
      <c r="AE183" s="1027" t="s">
        <v>122</v>
      </c>
      <c r="AF183" s="1027" t="s">
        <v>124</v>
      </c>
      <c r="AG183" s="752">
        <v>46266</v>
      </c>
      <c r="AH183" s="752">
        <v>46281</v>
      </c>
      <c r="AI183" s="752"/>
      <c r="AJ183" s="752">
        <v>46306</v>
      </c>
      <c r="AK183" s="752">
        <v>46313</v>
      </c>
      <c r="AL183" s="752"/>
      <c r="AM183" s="742" t="s">
        <v>402</v>
      </c>
      <c r="AN183" s="752" t="s">
        <v>7581</v>
      </c>
      <c r="AO183" s="752" t="s">
        <v>161</v>
      </c>
      <c r="AP183" s="752" t="s">
        <v>7582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customHeight="1">
      <c r="A184" s="740" t="s">
        <v>7585</v>
      </c>
      <c r="B184" s="741" t="s">
        <v>7068</v>
      </c>
      <c r="C184" s="741" t="str">
        <f>IFERROR(LEFT(ESS_DATA[[#This Row],[TCL REFERENCE]],FIND(".",ESS_DATA[[#This Row],[TCL REFERENCE]],1)-1),"Main Line")</f>
        <v>26SEP008</v>
      </c>
      <c r="D184" s="752" t="s">
        <v>63</v>
      </c>
      <c r="E184" s="742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1"/>
      <c r="H184" s="741"/>
      <c r="I184" s="744"/>
      <c r="J184" s="741"/>
      <c r="K184" s="741"/>
      <c r="L184" s="745"/>
      <c r="M184" s="746"/>
      <c r="N184" s="747" t="s">
        <v>7105</v>
      </c>
      <c r="O184" s="747" t="s">
        <v>7106</v>
      </c>
      <c r="P184" s="747" t="s">
        <v>7107</v>
      </c>
      <c r="Q184" s="748"/>
      <c r="R184" s="744">
        <v>132</v>
      </c>
      <c r="S184" s="1020"/>
      <c r="T184" s="741"/>
      <c r="U184" s="750">
        <f>ESS_DATA[[#This Row],[QUANTITY]]/264</f>
        <v>0.5</v>
      </c>
      <c r="V184" s="751" t="s">
        <v>7108</v>
      </c>
      <c r="W184" s="914" t="s">
        <v>7579</v>
      </c>
      <c r="X184" s="743" t="str">
        <f t="shared" si="7"/>
        <v/>
      </c>
      <c r="Y184" s="752">
        <v>46267</v>
      </c>
      <c r="Z184" s="752">
        <v>46273</v>
      </c>
      <c r="AA184" s="753">
        <f>WEEKNUM(ESS_DATA[[#This Row],[Pick-Up Date]])</f>
        <v>37</v>
      </c>
      <c r="AB184" s="741" t="s">
        <v>7580</v>
      </c>
      <c r="AC184" s="741"/>
      <c r="AD184" s="1027" t="s">
        <v>122</v>
      </c>
      <c r="AE184" s="1027" t="s">
        <v>122</v>
      </c>
      <c r="AF184" s="1027" t="s">
        <v>124</v>
      </c>
      <c r="AG184" s="752">
        <v>46266</v>
      </c>
      <c r="AH184" s="752">
        <v>46281</v>
      </c>
      <c r="AI184" s="752"/>
      <c r="AJ184" s="752">
        <v>46306</v>
      </c>
      <c r="AK184" s="752">
        <v>46313</v>
      </c>
      <c r="AL184" s="752"/>
      <c r="AM184" s="742" t="s">
        <v>402</v>
      </c>
      <c r="AN184" s="752" t="s">
        <v>7581</v>
      </c>
      <c r="AO184" s="752" t="s">
        <v>161</v>
      </c>
      <c r="AP184" s="752" t="s">
        <v>7582</v>
      </c>
      <c r="AQ184" s="741">
        <v>275749171</v>
      </c>
      <c r="AR184" s="741">
        <v>275749171</v>
      </c>
      <c r="AS184" s="741">
        <f>ESS_DATA[[#This Row],[ETA On S/O]]-ESS_DATA[[#This Row],[ETD On S/O]]+1</f>
        <v>41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9</v>
      </c>
      <c r="AY184" s="752">
        <f>IFERROR(ESS_DATA[[#This Row],[ODP ETA Port]]+ESS_DATA[[#This Row],[Customs/Leg3 Assumption]],"n/a")</f>
        <v>46322</v>
      </c>
      <c r="AZ184" s="743">
        <f>YEAR(ESS_DATA[[#This Row],[ETA for New Ark update]])</f>
        <v>2026</v>
      </c>
      <c r="BA184" s="743">
        <f>MONTH(ESS_DATA[[#This Row],[ETA for New Ark update]])</f>
        <v>10</v>
      </c>
      <c r="BB184" s="743">
        <f>IFERROR(_xlfn.ISOWEEKNUM(ESS_DATA[[#This Row],[ETA for New Ark update]]),0)</f>
        <v>44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5.75" customHeight="1">
      <c r="A185" s="740" t="s">
        <v>7586</v>
      </c>
      <c r="B185" s="741" t="s">
        <v>7068</v>
      </c>
      <c r="C185" s="741" t="str">
        <f>IFERROR(LEFT(ESS_DATA[[#This Row],[TCL REFERENCE]],FIND(".",ESS_DATA[[#This Row],[TCL REFERENCE]],1)-1),"Main Line")</f>
        <v>26SEP002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7082</v>
      </c>
      <c r="O185" s="747" t="s">
        <v>7083</v>
      </c>
      <c r="P185" s="747" t="s">
        <v>7084</v>
      </c>
      <c r="Q185" s="748"/>
      <c r="R185" s="744">
        <v>130</v>
      </c>
      <c r="S185" s="1020"/>
      <c r="T185" s="741"/>
      <c r="U185" s="750">
        <f>ESS_DATA[[#This Row],[QUANTITY]]/260</f>
        <v>0.5</v>
      </c>
      <c r="V185" s="751" t="s">
        <v>7114</v>
      </c>
      <c r="W185" s="915" t="s">
        <v>7587</v>
      </c>
      <c r="X185" s="743" t="str">
        <f t="shared" si="7"/>
        <v/>
      </c>
      <c r="Y185" s="914">
        <v>46273</v>
      </c>
      <c r="Z185" s="752">
        <v>46274</v>
      </c>
      <c r="AA185" s="753">
        <f>WEEKNUM(ESS_DATA[[#This Row],[Pick-Up Date]])</f>
        <v>37</v>
      </c>
      <c r="AB185" s="741" t="s">
        <v>7588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46283</v>
      </c>
      <c r="AI185" s="752"/>
      <c r="AJ185" s="752">
        <v>46328</v>
      </c>
      <c r="AK185" s="752">
        <v>46328</v>
      </c>
      <c r="AL185" s="752"/>
      <c r="AM185" s="742" t="s">
        <v>402</v>
      </c>
      <c r="AN185" s="752" t="s">
        <v>6628</v>
      </c>
      <c r="AO185" s="752" t="s">
        <v>80</v>
      </c>
      <c r="AP185" s="752" t="s">
        <v>7589</v>
      </c>
      <c r="AQ185" s="741" t="s">
        <v>7590</v>
      </c>
      <c r="AR185" s="741" t="s">
        <v>7590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customHeight="1">
      <c r="A186" s="740" t="s">
        <v>7591</v>
      </c>
      <c r="B186" s="741" t="s">
        <v>7068</v>
      </c>
      <c r="C186" s="741" t="str">
        <f>IFERROR(LEFT(ESS_DATA[[#This Row],[TCL REFERENCE]],FIND(".",ESS_DATA[[#This Row],[TCL REFERENCE]],1)-1),"Main Line")</f>
        <v>26SEP004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1"/>
      <c r="H186" s="741"/>
      <c r="I186" s="744"/>
      <c r="J186" s="741"/>
      <c r="K186" s="741"/>
      <c r="L186" s="745"/>
      <c r="M186" s="746"/>
      <c r="N186" s="747" t="s">
        <v>7094</v>
      </c>
      <c r="O186" s="747" t="s">
        <v>7291</v>
      </c>
      <c r="P186" s="747" t="s">
        <v>7096</v>
      </c>
      <c r="Q186" s="748"/>
      <c r="R186" s="744">
        <v>130</v>
      </c>
      <c r="S186" s="1020"/>
      <c r="T186" s="741"/>
      <c r="U186" s="750">
        <f>ESS_DATA[[#This Row],[QUANTITY]]/260</f>
        <v>0.5</v>
      </c>
      <c r="V186" s="751" t="s">
        <v>7114</v>
      </c>
      <c r="W186" s="915" t="s">
        <v>7587</v>
      </c>
      <c r="X186" s="743" t="str">
        <f t="shared" ref="X186:X213" si="8">IF(AL186&lt;&gt;"","COMPLETED",IF(AI186&lt;&gt;"","IN-TRANSIT",""))</f>
        <v/>
      </c>
      <c r="Y186" s="914">
        <v>46273</v>
      </c>
      <c r="Z186" s="752">
        <v>46274</v>
      </c>
      <c r="AA186" s="753">
        <f>WEEKNUM(ESS_DATA[[#This Row],[Pick-Up Date]])</f>
        <v>37</v>
      </c>
      <c r="AB186" s="741" t="s">
        <v>7588</v>
      </c>
      <c r="AC186" s="741"/>
      <c r="AD186" s="741" t="s">
        <v>122</v>
      </c>
      <c r="AE186" s="741" t="s">
        <v>122</v>
      </c>
      <c r="AF186" s="741" t="s">
        <v>78</v>
      </c>
      <c r="AG186" s="752">
        <v>46280</v>
      </c>
      <c r="AH186" s="752">
        <v>46283</v>
      </c>
      <c r="AI186" s="752"/>
      <c r="AJ186" s="752">
        <v>46328</v>
      </c>
      <c r="AK186" s="752">
        <v>46328</v>
      </c>
      <c r="AL186" s="752"/>
      <c r="AM186" s="742" t="s">
        <v>402</v>
      </c>
      <c r="AN186" s="752" t="s">
        <v>6628</v>
      </c>
      <c r="AO186" s="752" t="s">
        <v>80</v>
      </c>
      <c r="AP186" s="752" t="s">
        <v>7589</v>
      </c>
      <c r="AQ186" s="741" t="s">
        <v>7590</v>
      </c>
      <c r="AR186" s="741" t="s">
        <v>7590</v>
      </c>
      <c r="AS186" s="741">
        <f>ESS_DATA[[#This Row],[ETA On S/O]]-ESS_DATA[[#This Row],[ETD On S/O]]+1</f>
        <v>49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8</v>
      </c>
      <c r="AY186" s="752">
        <f>IFERROR(ESS_DATA[[#This Row],[ODP ETA Port]]+ESS_DATA[[#This Row],[Customs/Leg3 Assumption]],"n/a")</f>
        <v>46336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46</v>
      </c>
      <c r="BC186" s="743" t="str">
        <f>_xlfn.XLOOKUP(ESS_DATA[[#This Row],[PORT DESTINATION]],Table12[PORT DESTINATION],Table12[Cosco Line],,0)</f>
        <v>AEM</v>
      </c>
      <c r="BD186" s="743"/>
      <c r="BE186" s="754"/>
      <c r="BF186" s="754"/>
      <c r="BG186" s="754"/>
      <c r="BH186" s="754"/>
      <c r="BI186" s="754"/>
    </row>
    <row r="187" spans="1:61" s="755" customFormat="1" ht="14.25" customHeight="1">
      <c r="A187" s="740" t="s">
        <v>7592</v>
      </c>
      <c r="B187" s="741" t="s">
        <v>7068</v>
      </c>
      <c r="C187" s="741" t="str">
        <f>IFERROR(LEFT(ESS_DATA[[#This Row],[TCL REFERENCE]],FIND(".",ESS_DATA[[#This Row],[TCL REFERENCE]],1)-1),"Main Line")</f>
        <v>26SEP001</v>
      </c>
      <c r="D187" s="741" t="s">
        <v>63</v>
      </c>
      <c r="E187" s="742" t="s">
        <v>64</v>
      </c>
      <c r="F187" s="743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1"/>
      <c r="H187" s="741"/>
      <c r="I187" s="744"/>
      <c r="J187" s="741"/>
      <c r="K187" s="741"/>
      <c r="L187" s="745"/>
      <c r="M187" s="746"/>
      <c r="N187" s="747" t="s">
        <v>7116</v>
      </c>
      <c r="O187" s="747" t="s">
        <v>7083</v>
      </c>
      <c r="P187" s="747" t="s">
        <v>7117</v>
      </c>
      <c r="Q187" s="748"/>
      <c r="R187" s="1095">
        <v>40</v>
      </c>
      <c r="S187" s="1020"/>
      <c r="T187" s="741"/>
      <c r="U187" s="750">
        <f>ESS_DATA[[#This Row],[QUANTITY]]/264</f>
        <v>0.15151515151515152</v>
      </c>
      <c r="V187" s="751" t="s">
        <v>7593</v>
      </c>
      <c r="W187" s="741" t="s">
        <v>7594</v>
      </c>
      <c r="X187" s="743" t="str">
        <f>IF(AL187&lt;&gt;"","COMPLETED",IF(AI187&lt;&gt;"","IN-TRANSIT",""))</f>
        <v/>
      </c>
      <c r="Y187" s="752">
        <v>46273</v>
      </c>
      <c r="Z187" s="752">
        <v>46282</v>
      </c>
      <c r="AA187" s="753">
        <f>WEEKNUM(ESS_DATA[[#This Row],[Pick-Up Date]])</f>
        <v>38</v>
      </c>
      <c r="AB187" s="741"/>
      <c r="AC187" s="741"/>
      <c r="AD187" s="741" t="s">
        <v>122</v>
      </c>
      <c r="AE187" s="741" t="s">
        <v>122</v>
      </c>
      <c r="AF187" s="1096" t="s">
        <v>7595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7538</v>
      </c>
      <c r="AO187" s="752" t="s">
        <v>161</v>
      </c>
      <c r="AP187" s="752" t="s">
        <v>7596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0</v>
      </c>
      <c r="AY187" s="752">
        <f>IFERROR(ESS_DATA[[#This Row],[ODP ETA Port]]+ESS_DATA[[#This Row],[Customs/Leg3 Assumption]],"n/a")</f>
        <v>46328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45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customHeight="1">
      <c r="A188" s="740" t="s">
        <v>7597</v>
      </c>
      <c r="B188" s="741" t="s">
        <v>7068</v>
      </c>
      <c r="C188" s="741" t="str">
        <f>IFERROR(LEFT(ESS_DATA[[#This Row],[TCL REFERENCE]],FIND(".",ESS_DATA[[#This Row],[TCL REFERENCE]],1)-1),"Main Line")</f>
        <v>26SEP002</v>
      </c>
      <c r="D188" s="741" t="s">
        <v>63</v>
      </c>
      <c r="E188" s="742" t="s">
        <v>64</v>
      </c>
      <c r="F188" s="743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1"/>
      <c r="H188" s="741"/>
      <c r="I188" s="744"/>
      <c r="J188" s="741"/>
      <c r="K188" s="741"/>
      <c r="L188" s="745"/>
      <c r="M188" s="746"/>
      <c r="N188" s="747" t="s">
        <v>7082</v>
      </c>
      <c r="O188" s="747" t="s">
        <v>7083</v>
      </c>
      <c r="P188" s="747" t="s">
        <v>7084</v>
      </c>
      <c r="Q188" s="748"/>
      <c r="R188" s="1095">
        <v>26</v>
      </c>
      <c r="S188" s="1020"/>
      <c r="T188" s="741"/>
      <c r="U188" s="750">
        <f>ESS_DATA[[#This Row],[QUANTITY]]/264</f>
        <v>9.8484848484848481E-2</v>
      </c>
      <c r="V188" s="751" t="s">
        <v>7593</v>
      </c>
      <c r="W188" s="741" t="s">
        <v>7594</v>
      </c>
      <c r="X188" s="743" t="str">
        <f>IF(AL188&lt;&gt;"","COMPLETED",IF(AI188&lt;&gt;"","IN-TRANSIT",""))</f>
        <v/>
      </c>
      <c r="Y188" s="752">
        <v>46273</v>
      </c>
      <c r="Z188" s="752">
        <v>46282</v>
      </c>
      <c r="AA188" s="753">
        <f>WEEKNUM(ESS_DATA[[#This Row],[Pick-Up Date]])</f>
        <v>38</v>
      </c>
      <c r="AB188" s="741"/>
      <c r="AC188" s="741"/>
      <c r="AD188" s="741" t="s">
        <v>122</v>
      </c>
      <c r="AE188" s="741" t="s">
        <v>122</v>
      </c>
      <c r="AF188" s="1096" t="s">
        <v>7595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7538</v>
      </c>
      <c r="AO188" s="752" t="s">
        <v>161</v>
      </c>
      <c r="AP188" s="752" t="s">
        <v>7596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0</v>
      </c>
      <c r="AY188" s="752">
        <f>IFERROR(ESS_DATA[[#This Row],[ODP ETA Port]]+ESS_DATA[[#This Row],[Customs/Leg3 Assumption]],"n/a")</f>
        <v>46328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45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customHeight="1">
      <c r="A189" s="740" t="s">
        <v>7598</v>
      </c>
      <c r="B189" s="741" t="s">
        <v>7068</v>
      </c>
      <c r="C189" s="741" t="str">
        <f>IFERROR(LEFT(ESS_DATA[[#This Row],[TCL REFERENCE]],FIND(".",ESS_DATA[[#This Row],[TCL REFERENCE]],1)-1),"Main Line")</f>
        <v>26SEP004</v>
      </c>
      <c r="D189" s="741" t="s">
        <v>63</v>
      </c>
      <c r="E189" s="742" t="s">
        <v>64</v>
      </c>
      <c r="F189" s="743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1"/>
      <c r="H189" s="741"/>
      <c r="I189" s="744"/>
      <c r="J189" s="741"/>
      <c r="K189" s="741"/>
      <c r="L189" s="745"/>
      <c r="M189" s="746"/>
      <c r="N189" s="747" t="s">
        <v>7094</v>
      </c>
      <c r="O189" s="747" t="s">
        <v>7291</v>
      </c>
      <c r="P189" s="747" t="s">
        <v>7096</v>
      </c>
      <c r="Q189" s="748"/>
      <c r="R189" s="1095">
        <v>66</v>
      </c>
      <c r="S189" s="1020"/>
      <c r="T189" s="741"/>
      <c r="U189" s="750">
        <f>ESS_DATA[[#This Row],[QUANTITY]]/264</f>
        <v>0.25</v>
      </c>
      <c r="V189" s="751" t="s">
        <v>7593</v>
      </c>
      <c r="W189" s="741" t="s">
        <v>7594</v>
      </c>
      <c r="X189" s="743" t="str">
        <f>IF(AL189&lt;&gt;"","COMPLETED",IF(AI189&lt;&gt;"","IN-TRANSIT",""))</f>
        <v/>
      </c>
      <c r="Y189" s="752">
        <v>46273</v>
      </c>
      <c r="Z189" s="752">
        <v>46282</v>
      </c>
      <c r="AA189" s="753">
        <f>WEEKNUM(ESS_DATA[[#This Row],[Pick-Up Date]])</f>
        <v>38</v>
      </c>
      <c r="AB189" s="741"/>
      <c r="AC189" s="741"/>
      <c r="AD189" s="741" t="s">
        <v>122</v>
      </c>
      <c r="AE189" s="741" t="s">
        <v>122</v>
      </c>
      <c r="AF189" s="1096" t="s">
        <v>7595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7538</v>
      </c>
      <c r="AO189" s="752" t="s">
        <v>161</v>
      </c>
      <c r="AP189" s="752" t="s">
        <v>7596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0</v>
      </c>
      <c r="AY189" s="752">
        <f>IFERROR(ESS_DATA[[#This Row],[ODP ETA Port]]+ESS_DATA[[#This Row],[Customs/Leg3 Assumption]],"n/a")</f>
        <v>46328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45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4.25" customHeight="1">
      <c r="A190" s="740" t="s">
        <v>7599</v>
      </c>
      <c r="B190" s="741" t="s">
        <v>7068</v>
      </c>
      <c r="C190" s="741" t="str">
        <f>IFERROR(LEFT(ESS_DATA[[#This Row],[TCL REFERENCE]],FIND(".",ESS_DATA[[#This Row],[TCL REFERENCE]],1)-1),"Main Line")</f>
        <v>26SEP008</v>
      </c>
      <c r="D190" s="741" t="s">
        <v>63</v>
      </c>
      <c r="E190" s="742" t="s">
        <v>64</v>
      </c>
      <c r="F190" s="743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90" s="741"/>
      <c r="H190" s="741"/>
      <c r="I190" s="744"/>
      <c r="J190" s="741"/>
      <c r="K190" s="741"/>
      <c r="L190" s="745"/>
      <c r="M190" s="746"/>
      <c r="N190" s="747" t="s">
        <v>7105</v>
      </c>
      <c r="O190" s="747" t="s">
        <v>7106</v>
      </c>
      <c r="P190" s="749" t="s">
        <v>7107</v>
      </c>
      <c r="Q190" s="748"/>
      <c r="R190" s="1095">
        <v>132</v>
      </c>
      <c r="S190" s="1020"/>
      <c r="T190" s="741"/>
      <c r="U190" s="750">
        <f>ESS_DATA[[#This Row],[QUANTITY]]/264</f>
        <v>0.5</v>
      </c>
      <c r="V190" s="751" t="s">
        <v>7593</v>
      </c>
      <c r="W190" s="741" t="s">
        <v>7594</v>
      </c>
      <c r="X190" s="743" t="str">
        <f>IF(AL190&lt;&gt;"","COMPLETED",IF(AI190&lt;&gt;"","IN-TRANSIT",""))</f>
        <v/>
      </c>
      <c r="Y190" s="752">
        <v>46273</v>
      </c>
      <c r="Z190" s="752">
        <v>46282</v>
      </c>
      <c r="AA190" s="753">
        <f>WEEKNUM(ESS_DATA[[#This Row],[Pick-Up Date]])</f>
        <v>38</v>
      </c>
      <c r="AB190" s="741"/>
      <c r="AC190" s="741"/>
      <c r="AD190" s="741" t="s">
        <v>122</v>
      </c>
      <c r="AE190" s="741" t="s">
        <v>122</v>
      </c>
      <c r="AF190" s="1096" t="s">
        <v>7595</v>
      </c>
      <c r="AG190" s="752">
        <v>46280</v>
      </c>
      <c r="AH190" s="752">
        <v>46289</v>
      </c>
      <c r="AI190" s="752"/>
      <c r="AJ190" s="752">
        <v>46321</v>
      </c>
      <c r="AK190" s="752">
        <v>46328</v>
      </c>
      <c r="AL190" s="752"/>
      <c r="AM190" s="742" t="s">
        <v>402</v>
      </c>
      <c r="AN190" s="752" t="s">
        <v>7538</v>
      </c>
      <c r="AO190" s="752" t="s">
        <v>161</v>
      </c>
      <c r="AP190" s="752" t="s">
        <v>7596</v>
      </c>
      <c r="AQ190" s="741">
        <v>276343831</v>
      </c>
      <c r="AR190" s="741">
        <v>276343831</v>
      </c>
      <c r="AS190" s="741">
        <f>ESS_DATA[[#This Row],[ETA On S/O]]-ESS_DATA[[#This Row],[ETD On S/O]]+1</f>
        <v>42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0</v>
      </c>
      <c r="AY190" s="752">
        <f>IFERROR(ESS_DATA[[#This Row],[ODP ETA Port]]+ESS_DATA[[#This Row],[Customs/Leg3 Assumption]],"n/a")</f>
        <v>46328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45</v>
      </c>
      <c r="BC190" s="743" t="e">
        <f>_xlfn.XLOOKUP(ESS_DATA[[#This Row],[PORT DESTINATION]],Table12[PORT DESTINATION],Table12[Cosco Line],,0)</f>
        <v>#N/A</v>
      </c>
      <c r="BD190" s="743"/>
      <c r="BE190" s="754"/>
      <c r="BF190" s="754"/>
      <c r="BG190" s="754"/>
      <c r="BH190" s="754"/>
      <c r="BI190" s="754"/>
    </row>
    <row r="191" spans="1:61" s="755" customFormat="1" ht="15.75" customHeight="1">
      <c r="A191" s="740" t="s">
        <v>7600</v>
      </c>
      <c r="B191" s="741" t="s">
        <v>7068</v>
      </c>
      <c r="C191" s="741" t="str">
        <f>IFERROR(LEFT(ESS_DATA[[#This Row],[TCL REFERENCE]],FIND(".",ESS_DATA[[#This Row],[TCL REFERENCE]],1)-1),"Main Line")</f>
        <v>26SEP002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7082</v>
      </c>
      <c r="O191" s="747" t="s">
        <v>7083</v>
      </c>
      <c r="P191" s="747" t="s">
        <v>7084</v>
      </c>
      <c r="Q191" s="748"/>
      <c r="R191" s="962">
        <v>90</v>
      </c>
      <c r="S191" s="1020"/>
      <c r="T191" s="741"/>
      <c r="U191" s="750">
        <f>ESS_DATA[[#This Row],[QUANTITY]]/260</f>
        <v>0.34615384615384615</v>
      </c>
      <c r="V191" s="751" t="s">
        <v>7118</v>
      </c>
      <c r="W191" s="741" t="s">
        <v>7601</v>
      </c>
      <c r="X191" s="743"/>
      <c r="Y191" s="985">
        <v>46279</v>
      </c>
      <c r="Z191" s="752">
        <v>46280</v>
      </c>
      <c r="AA191" s="753">
        <f>WEEKNUM(ESS_DATA[[#This Row],[Pick-Up Date]])</f>
        <v>38</v>
      </c>
      <c r="AB191" s="741"/>
      <c r="AC191" s="741"/>
      <c r="AD191" s="741" t="s">
        <v>122</v>
      </c>
      <c r="AE191" s="741" t="s">
        <v>122</v>
      </c>
      <c r="AF191" s="915" t="s">
        <v>124</v>
      </c>
      <c r="AG191" s="752">
        <v>46288</v>
      </c>
      <c r="AH191" s="752"/>
      <c r="AI191" s="752"/>
      <c r="AJ191" s="752">
        <v>46324</v>
      </c>
      <c r="AK191" s="752"/>
      <c r="AL191" s="752"/>
      <c r="AM191" s="742" t="s">
        <v>402</v>
      </c>
      <c r="AN191" s="752" t="s">
        <v>7602</v>
      </c>
      <c r="AO191" s="752" t="s">
        <v>80</v>
      </c>
      <c r="AP191" s="752" t="s">
        <v>7603</v>
      </c>
      <c r="AQ191" s="741" t="s">
        <v>7604</v>
      </c>
      <c r="AR191" s="741" t="s">
        <v>7604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46333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45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customHeight="1">
      <c r="A192" s="740" t="s">
        <v>7605</v>
      </c>
      <c r="B192" s="741" t="s">
        <v>7068</v>
      </c>
      <c r="C192" s="741" t="str">
        <f>IFERROR(LEFT(ESS_DATA[[#This Row],[TCL REFERENCE]],FIND(".",ESS_DATA[[#This Row],[TCL REFERENCE]],1)-1),"Main Line")</f>
        <v>26SEP003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7091</v>
      </c>
      <c r="O192" s="747" t="s">
        <v>7083</v>
      </c>
      <c r="P192" s="747" t="s">
        <v>7092</v>
      </c>
      <c r="Q192" s="748"/>
      <c r="R192" s="962">
        <v>38</v>
      </c>
      <c r="S192" s="1020"/>
      <c r="T192" s="741"/>
      <c r="U192" s="750">
        <f>ESS_DATA[[#This Row],[QUANTITY]]/260</f>
        <v>0.14615384615384616</v>
      </c>
      <c r="V192" s="751" t="s">
        <v>7118</v>
      </c>
      <c r="W192" s="741" t="s">
        <v>7601</v>
      </c>
      <c r="X192" s="743" t="str">
        <f>IF(AL192&lt;&gt;"","COMPLETED",IF(AI192&lt;&gt;"","IN-TRANSIT",""))</f>
        <v/>
      </c>
      <c r="Y192" s="985">
        <v>46279</v>
      </c>
      <c r="Z192" s="752">
        <v>46280</v>
      </c>
      <c r="AA192" s="753">
        <f>WEEKNUM(ESS_DATA[[#This Row],[Pick-Up Date]])</f>
        <v>38</v>
      </c>
      <c r="AB192" s="741"/>
      <c r="AC192" s="741"/>
      <c r="AD192" s="741" t="s">
        <v>122</v>
      </c>
      <c r="AE192" s="741" t="s">
        <v>122</v>
      </c>
      <c r="AF192" s="915" t="s">
        <v>124</v>
      </c>
      <c r="AG192" s="752">
        <v>46288</v>
      </c>
      <c r="AH192" s="752"/>
      <c r="AI192" s="752"/>
      <c r="AJ192" s="752">
        <v>46324</v>
      </c>
      <c r="AK192" s="752"/>
      <c r="AL192" s="752"/>
      <c r="AM192" s="742" t="s">
        <v>402</v>
      </c>
      <c r="AN192" s="752" t="s">
        <v>7602</v>
      </c>
      <c r="AO192" s="752" t="s">
        <v>80</v>
      </c>
      <c r="AP192" s="752" t="s">
        <v>7603</v>
      </c>
      <c r="AQ192" s="741" t="s">
        <v>7604</v>
      </c>
      <c r="AR192" s="741" t="s">
        <v>7604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46333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45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customHeight="1">
      <c r="A193" s="740" t="s">
        <v>7606</v>
      </c>
      <c r="B193" s="741" t="s">
        <v>7068</v>
      </c>
      <c r="C193" s="741" t="str">
        <f>IFERROR(LEFT(ESS_DATA[[#This Row],[TCL REFERENCE]],FIND(".",ESS_DATA[[#This Row],[TCL REFERENCE]],1)-1),"Main Line")</f>
        <v>Main Line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7091</v>
      </c>
      <c r="O193" s="747" t="s">
        <v>7083</v>
      </c>
      <c r="P193" s="747" t="s">
        <v>7092</v>
      </c>
      <c r="Q193" s="748"/>
      <c r="R193" s="962">
        <v>2</v>
      </c>
      <c r="S193" s="1020"/>
      <c r="T193" s="741"/>
      <c r="U193" s="750">
        <f>ESS_DATA[[#This Row],[QUANTITY]]/260</f>
        <v>7.6923076923076927E-3</v>
      </c>
      <c r="V193" s="751" t="s">
        <v>7118</v>
      </c>
      <c r="W193" s="741" t="s">
        <v>7601</v>
      </c>
      <c r="X193" s="743" t="str">
        <f>IF(AL193&lt;&gt;"","COMPLETED",IF(AI193&lt;&gt;"","IN-TRANSIT",""))</f>
        <v/>
      </c>
      <c r="Y193" s="985">
        <v>46279</v>
      </c>
      <c r="Z193" s="752">
        <v>46280</v>
      </c>
      <c r="AA193" s="753">
        <f>WEEKNUM(ESS_DATA[[#This Row],[Pick-Up Date]])</f>
        <v>38</v>
      </c>
      <c r="AB193" s="741"/>
      <c r="AC193" s="741"/>
      <c r="AD193" s="741" t="s">
        <v>122</v>
      </c>
      <c r="AE193" s="741" t="s">
        <v>122</v>
      </c>
      <c r="AF193" s="915" t="s">
        <v>124</v>
      </c>
      <c r="AG193" s="752">
        <v>46288</v>
      </c>
      <c r="AH193" s="752"/>
      <c r="AI193" s="752"/>
      <c r="AJ193" s="752">
        <v>46324</v>
      </c>
      <c r="AK193" s="752"/>
      <c r="AL193" s="752"/>
      <c r="AM193" s="742" t="s">
        <v>402</v>
      </c>
      <c r="AN193" s="752" t="s">
        <v>7602</v>
      </c>
      <c r="AO193" s="752" t="s">
        <v>80</v>
      </c>
      <c r="AP193" s="752" t="s">
        <v>7603</v>
      </c>
      <c r="AQ193" s="741" t="s">
        <v>7604</v>
      </c>
      <c r="AR193" s="741" t="s">
        <v>7604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46333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45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customHeight="1">
      <c r="A194" s="740" t="s">
        <v>7607</v>
      </c>
      <c r="B194" s="741" t="s">
        <v>7068</v>
      </c>
      <c r="C194" s="741" t="str">
        <f>IFERROR(LEFT(ESS_DATA[[#This Row],[TCL REFERENCE]],FIND(".",ESS_DATA[[#This Row],[TCL REFERENCE]],1)-1),"Main Line")</f>
        <v>26SEP004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1"/>
      <c r="H194" s="741"/>
      <c r="I194" s="744"/>
      <c r="J194" s="741"/>
      <c r="K194" s="741"/>
      <c r="L194" s="745"/>
      <c r="M194" s="746"/>
      <c r="N194" s="747" t="s">
        <v>7094</v>
      </c>
      <c r="O194" s="747" t="s">
        <v>7291</v>
      </c>
      <c r="P194" s="747" t="s">
        <v>7096</v>
      </c>
      <c r="Q194" s="748"/>
      <c r="R194" s="1124">
        <v>130</v>
      </c>
      <c r="S194" s="1020"/>
      <c r="T194" s="741"/>
      <c r="U194" s="750">
        <f>ESS_DATA[[#This Row],[QUANTITY]]/260</f>
        <v>0.5</v>
      </c>
      <c r="V194" s="751" t="s">
        <v>7118</v>
      </c>
      <c r="W194" s="741" t="s">
        <v>7601</v>
      </c>
      <c r="X194" s="743" t="str">
        <f t="shared" ref="X194" si="9">IF(AL194&lt;&gt;"","COMPLETED",IF(AI194&lt;&gt;"","IN-TRANSIT",""))</f>
        <v/>
      </c>
      <c r="Y194" s="985">
        <v>46279</v>
      </c>
      <c r="Z194" s="752">
        <v>46280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915" t="s">
        <v>124</v>
      </c>
      <c r="AG194" s="752">
        <v>46288</v>
      </c>
      <c r="AH194" s="752"/>
      <c r="AI194" s="752"/>
      <c r="AJ194" s="752">
        <v>46324</v>
      </c>
      <c r="AK194" s="752"/>
      <c r="AL194" s="752"/>
      <c r="AM194" s="742" t="s">
        <v>402</v>
      </c>
      <c r="AN194" s="752" t="s">
        <v>7602</v>
      </c>
      <c r="AO194" s="752" t="s">
        <v>80</v>
      </c>
      <c r="AP194" s="752" t="s">
        <v>7603</v>
      </c>
      <c r="AQ194" s="741" t="s">
        <v>7604</v>
      </c>
      <c r="AR194" s="741" t="s">
        <v>7604</v>
      </c>
      <c r="AS194" s="741">
        <f>ESS_DATA[[#This Row],[ETA On S/O]]-ESS_DATA[[#This Row],[ETD On S/O]]+1</f>
        <v>37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9</v>
      </c>
      <c r="AY194" s="752">
        <f>IFERROR(ESS_DATA[[#This Row],[ODP ETA Port]]+ESS_DATA[[#This Row],[Customs/Leg3 Assumption]],"n/a")</f>
        <v>46333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45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customHeight="1">
      <c r="A195" s="740" t="s">
        <v>7608</v>
      </c>
      <c r="B195" s="741" t="s">
        <v>7068</v>
      </c>
      <c r="C195" s="741" t="str">
        <f>IFERROR(LEFT(ESS_DATA[[#This Row],[TCL REFERENCE]],FIND(".",ESS_DATA[[#This Row],[TCL REFERENCE]],1)-1),"Main Line")</f>
        <v>26SEP001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7116</v>
      </c>
      <c r="O195" s="747" t="s">
        <v>7083</v>
      </c>
      <c r="P195" s="747" t="s">
        <v>7117</v>
      </c>
      <c r="Q195" s="748"/>
      <c r="R195" s="962">
        <v>18</v>
      </c>
      <c r="S195" s="1020"/>
      <c r="T195" s="741"/>
      <c r="U195" s="750">
        <f>ESS_DATA[[#This Row],[QUANTITY]]/260</f>
        <v>6.9230769230769235E-2</v>
      </c>
      <c r="V195" s="751" t="s">
        <v>7127</v>
      </c>
      <c r="W195" s="741" t="s">
        <v>7601</v>
      </c>
      <c r="X195" s="743" t="str">
        <f>IF(AL195&lt;&gt;"","COMPLETED",IF(AI195&lt;&gt;"","IN-TRANSIT",""))</f>
        <v/>
      </c>
      <c r="Y195" s="914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7609</v>
      </c>
      <c r="AO195" s="752" t="s">
        <v>80</v>
      </c>
      <c r="AP195" s="752" t="s">
        <v>7610</v>
      </c>
      <c r="AQ195" s="741" t="s">
        <v>7611</v>
      </c>
      <c r="AR195" s="741" t="s">
        <v>7611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 t="str">
        <f>IF(ISERROR(ESS_DATA[[#This Row],[New Ark PO status]]),"",_xlfn.XLOOKUP(ESS_DATA[[#This Row],[SPTN-PVHK New Ark PO'#]],New_Ark_Data[Purchase order Number],New_Ark_Data[Estimated time of arrival],"",0))</f>
        <v/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.75" customHeight="1">
      <c r="A196" s="740" t="s">
        <v>7612</v>
      </c>
      <c r="B196" s="741" t="s">
        <v>7068</v>
      </c>
      <c r="C196" s="741" t="str">
        <f>IFERROR(LEFT(ESS_DATA[[#This Row],[TCL REFERENCE]],FIND(".",ESS_DATA[[#This Row],[TCL REFERENCE]],1)-1),"Main Line")</f>
        <v>Main Line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7116</v>
      </c>
      <c r="O196" s="747" t="s">
        <v>7083</v>
      </c>
      <c r="P196" s="747" t="s">
        <v>7117</v>
      </c>
      <c r="Q196" s="748"/>
      <c r="R196" s="962">
        <v>2</v>
      </c>
      <c r="S196" s="1020"/>
      <c r="T196" s="741"/>
      <c r="U196" s="750">
        <f>ESS_DATA[[#This Row],[QUANTITY]]/260</f>
        <v>7.6923076923076927E-3</v>
      </c>
      <c r="V196" s="751" t="s">
        <v>7127</v>
      </c>
      <c r="W196" s="741" t="s">
        <v>7601</v>
      </c>
      <c r="X196" s="743" t="str">
        <f>IF(AL196&lt;&gt;"","COMPLETED",IF(AI197&lt;&gt;"","IN-TRANSIT",""))</f>
        <v/>
      </c>
      <c r="Y196" s="914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7609</v>
      </c>
      <c r="AO196" s="752" t="s">
        <v>80</v>
      </c>
      <c r="AP196" s="752" t="s">
        <v>7610</v>
      </c>
      <c r="AQ196" s="741" t="s">
        <v>7611</v>
      </c>
      <c r="AR196" s="741" t="s">
        <v>7611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 t="str">
        <f>IF(ISERROR(ESS_DATA[[#This Row],[New Ark PO status]]),"",_xlfn.XLOOKUP(ESS_DATA[[#This Row],[SPTN-PVHK New Ark PO'#]],New_Ark_Data[Purchase order Number],New_Ark_Data[Estimated time of arrival],"",0))</f>
        <v/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customHeight="1">
      <c r="A197" s="740" t="s">
        <v>7613</v>
      </c>
      <c r="B197" s="741" t="s">
        <v>7068</v>
      </c>
      <c r="C197" s="741" t="str">
        <f>IFERROR(LEFT(ESS_DATA[[#This Row],[TCL REFERENCE]],FIND(".",ESS_DATA[[#This Row],[TCL REFERENCE]],1)-1),"Main Line")</f>
        <v>26SEP002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7082</v>
      </c>
      <c r="O197" s="747" t="s">
        <v>7083</v>
      </c>
      <c r="P197" s="747" t="s">
        <v>7084</v>
      </c>
      <c r="Q197" s="748"/>
      <c r="R197" s="962">
        <v>94</v>
      </c>
      <c r="S197" s="1020"/>
      <c r="T197" s="741"/>
      <c r="U197" s="750">
        <f>ESS_DATA[[#This Row],[QUANTITY]]/260</f>
        <v>0.36153846153846153</v>
      </c>
      <c r="V197" s="751" t="s">
        <v>7127</v>
      </c>
      <c r="W197" s="741" t="s">
        <v>7601</v>
      </c>
      <c r="X197" s="743" t="str">
        <f t="shared" ref="X197:X204" si="10">IF(AL197&lt;&gt;"","COMPLETED",IF(AI197&lt;&gt;"","IN-TRANSIT",""))</f>
        <v/>
      </c>
      <c r="Y197" s="914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7609</v>
      </c>
      <c r="AO197" s="752" t="s">
        <v>80</v>
      </c>
      <c r="AP197" s="752" t="s">
        <v>7610</v>
      </c>
      <c r="AQ197" s="741" t="s">
        <v>7611</v>
      </c>
      <c r="AR197" s="741" t="s">
        <v>7611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customHeight="1">
      <c r="A198" s="740" t="s">
        <v>7614</v>
      </c>
      <c r="B198" s="741" t="s">
        <v>7068</v>
      </c>
      <c r="C198" s="741" t="str">
        <f>IFERROR(LEFT(ESS_DATA[[#This Row],[TCL REFERENCE]],FIND(".",ESS_DATA[[#This Row],[TCL REFERENCE]],1)-1),"Main Line")</f>
        <v>Main Line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7082</v>
      </c>
      <c r="O198" s="747" t="s">
        <v>7083</v>
      </c>
      <c r="P198" s="747" t="s">
        <v>7084</v>
      </c>
      <c r="Q198" s="748"/>
      <c r="R198" s="962">
        <v>16</v>
      </c>
      <c r="S198" s="1020"/>
      <c r="T198" s="741"/>
      <c r="U198" s="750">
        <f>ESS_DATA[[#This Row],[QUANTITY]]/260</f>
        <v>6.1538461538461542E-2</v>
      </c>
      <c r="V198" s="751" t="s">
        <v>7127</v>
      </c>
      <c r="W198" s="741" t="s">
        <v>7601</v>
      </c>
      <c r="X198" s="743" t="str">
        <f t="shared" si="10"/>
        <v/>
      </c>
      <c r="Y198" s="914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7609</v>
      </c>
      <c r="AO198" s="752" t="s">
        <v>80</v>
      </c>
      <c r="AP198" s="752" t="s">
        <v>7610</v>
      </c>
      <c r="AQ198" s="741" t="s">
        <v>7611</v>
      </c>
      <c r="AR198" s="741" t="s">
        <v>7611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 t="str">
        <f>IF(ISERROR(ESS_DATA[[#This Row],[New Ark PO status]]),"",_xlfn.XLOOKUP(ESS_DATA[[#This Row],[SPTN-PVHK New Ark PO'#]],New_Ark_Data[Purchase order Number],New_Ark_Data[Estimated time of arrival],"",0))</f>
        <v/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customHeight="1">
      <c r="A199" s="740" t="s">
        <v>7615</v>
      </c>
      <c r="B199" s="741" t="s">
        <v>7068</v>
      </c>
      <c r="C199" s="741" t="str">
        <f>IFERROR(LEFT(ESS_DATA[[#This Row],[TCL REFERENCE]],FIND(".",ESS_DATA[[#This Row],[TCL REFERENCE]],1)-1),"Main Line")</f>
        <v>26SEP004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7094</v>
      </c>
      <c r="O199" s="747" t="s">
        <v>7291</v>
      </c>
      <c r="P199" s="747" t="s">
        <v>7096</v>
      </c>
      <c r="Q199" s="748"/>
      <c r="R199" s="1000">
        <v>111</v>
      </c>
      <c r="S199" s="1020"/>
      <c r="T199" s="741"/>
      <c r="U199" s="750">
        <f>ESS_DATA[[#This Row],[QUANTITY]]/260</f>
        <v>0.42692307692307691</v>
      </c>
      <c r="V199" s="751" t="s">
        <v>7127</v>
      </c>
      <c r="W199" s="741" t="s">
        <v>7601</v>
      </c>
      <c r="X199" s="743" t="str">
        <f t="shared" si="10"/>
        <v/>
      </c>
      <c r="Y199" s="914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7609</v>
      </c>
      <c r="AO199" s="752" t="s">
        <v>80</v>
      </c>
      <c r="AP199" s="752" t="s">
        <v>7610</v>
      </c>
      <c r="AQ199" s="741" t="s">
        <v>7611</v>
      </c>
      <c r="AR199" s="741" t="s">
        <v>7611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customHeight="1">
      <c r="A200" s="740" t="s">
        <v>7616</v>
      </c>
      <c r="B200" s="741" t="s">
        <v>7068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7" t="s">
        <v>7094</v>
      </c>
      <c r="O200" s="747" t="s">
        <v>7291</v>
      </c>
      <c r="P200" s="747" t="s">
        <v>7096</v>
      </c>
      <c r="Q200" s="748"/>
      <c r="R200" s="1123">
        <v>19</v>
      </c>
      <c r="S200" s="1020"/>
      <c r="T200" s="741"/>
      <c r="U200" s="750">
        <f>ESS_DATA[[#This Row],[QUANTITY]]/260</f>
        <v>7.3076923076923081E-2</v>
      </c>
      <c r="V200" s="751" t="s">
        <v>7127</v>
      </c>
      <c r="W200" s="741" t="s">
        <v>7601</v>
      </c>
      <c r="X200" s="743" t="str">
        <f t="shared" si="10"/>
        <v/>
      </c>
      <c r="Y200" s="914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7609</v>
      </c>
      <c r="AO200" s="752" t="s">
        <v>80</v>
      </c>
      <c r="AP200" s="752" t="s">
        <v>7610</v>
      </c>
      <c r="AQ200" s="741" t="s">
        <v>7611</v>
      </c>
      <c r="AR200" s="741" t="s">
        <v>7611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2" t="str">
        <f>IF(ISERROR(ESS_DATA[[#This Row],[New Ark PO status]]),"",_xlfn.XLOOKUP(ESS_DATA[[#This Row],[SPTN-PVHK New Ark PO'#]],New_Ark_Data[Purchase order Number],New_Ark_Data[Estimated time of arrival],"",0))</f>
        <v/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5" customHeight="1">
      <c r="A201" s="740" t="s">
        <v>7617</v>
      </c>
      <c r="B201" s="741" t="s">
        <v>7068</v>
      </c>
      <c r="C201" s="741" t="str">
        <f>IFERROR(LEFT(ESS_DATA[[#This Row],[TCL REFERENCE]],FIND(".",ESS_DATA[[#This Row],[TCL REFERENCE]],1)-1),"Main Line")</f>
        <v>Main Line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9" t="s">
        <v>7070</v>
      </c>
      <c r="O201" s="747" t="s">
        <v>7240</v>
      </c>
      <c r="P201" s="749" t="s">
        <v>7072</v>
      </c>
      <c r="Q201" s="748"/>
      <c r="R201" s="1000">
        <v>180</v>
      </c>
      <c r="S201" s="1020"/>
      <c r="T201" s="741"/>
      <c r="U201" s="750">
        <v>0</v>
      </c>
      <c r="V201" s="751" t="s">
        <v>7127</v>
      </c>
      <c r="W201" s="741" t="s">
        <v>7601</v>
      </c>
      <c r="X201" s="743" t="str">
        <f t="shared" si="10"/>
        <v/>
      </c>
      <c r="Y201" s="914">
        <v>46282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7609</v>
      </c>
      <c r="AO201" s="752" t="s">
        <v>80</v>
      </c>
      <c r="AP201" s="752" t="s">
        <v>7610</v>
      </c>
      <c r="AQ201" s="741" t="s">
        <v>7611</v>
      </c>
      <c r="AR201" s="741" t="s">
        <v>7611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3.5" customHeight="1">
      <c r="A202" s="740" t="s">
        <v>7618</v>
      </c>
      <c r="B202" s="741" t="s">
        <v>7068</v>
      </c>
      <c r="C202" s="741" t="str">
        <f>IFERROR(LEFT(ESS_DATA[[#This Row],[TCL REFERENCE]],FIND(".",ESS_DATA[[#This Row],[TCL REFERENCE]],1)-1),"Main Line")</f>
        <v>26SEP002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7082</v>
      </c>
      <c r="O202" s="747" t="s">
        <v>7083</v>
      </c>
      <c r="P202" s="747" t="s">
        <v>7084</v>
      </c>
      <c r="Q202" s="748"/>
      <c r="R202" s="1000">
        <v>130</v>
      </c>
      <c r="S202" s="1020"/>
      <c r="T202" s="741"/>
      <c r="U202" s="750">
        <f>ESS_DATA[[#This Row],[QUANTITY]]/260</f>
        <v>0.5</v>
      </c>
      <c r="V202" s="751" t="s">
        <v>7131</v>
      </c>
      <c r="W202" s="986" t="s">
        <v>7619</v>
      </c>
      <c r="X202" s="1002" t="str">
        <f t="shared" si="10"/>
        <v/>
      </c>
      <c r="Y202" s="985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7609</v>
      </c>
      <c r="AO202" s="752" t="s">
        <v>80</v>
      </c>
      <c r="AP202" s="752" t="s">
        <v>7610</v>
      </c>
      <c r="AQ202" s="741" t="s">
        <v>7611</v>
      </c>
      <c r="AR202" s="741" t="s">
        <v>7611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customHeight="1">
      <c r="A203" s="740" t="s">
        <v>7620</v>
      </c>
      <c r="B203" s="741" t="s">
        <v>7068</v>
      </c>
      <c r="C203" s="741" t="str">
        <f>IFERROR(LEFT(ESS_DATA[[#This Row],[TCL REFERENCE]],FIND(".",ESS_DATA[[#This Row],[TCL REFERENCE]],1)-1),"Main Line")</f>
        <v>26SEP004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7" t="s">
        <v>7094</v>
      </c>
      <c r="O203" s="747" t="s">
        <v>7291</v>
      </c>
      <c r="P203" s="747" t="s">
        <v>7096</v>
      </c>
      <c r="Q203" s="748"/>
      <c r="R203" s="1000">
        <v>130</v>
      </c>
      <c r="S203" s="1020"/>
      <c r="T203" s="741"/>
      <c r="U203" s="750">
        <f>ESS_DATA[[#This Row],[QUANTITY]]/260</f>
        <v>0.5</v>
      </c>
      <c r="V203" s="751" t="s">
        <v>7131</v>
      </c>
      <c r="W203" s="986" t="s">
        <v>7619</v>
      </c>
      <c r="X203" s="1002" t="str">
        <f t="shared" si="10"/>
        <v/>
      </c>
      <c r="Y203" s="985">
        <v>46286</v>
      </c>
      <c r="Z203" s="752">
        <v>46284</v>
      </c>
      <c r="AA203" s="753">
        <f>WEEKNUM(ESS_DATA[[#This Row],[Pick-Up Date]])</f>
        <v>38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46290</v>
      </c>
      <c r="AH203" s="752">
        <v>46292</v>
      </c>
      <c r="AI203" s="752"/>
      <c r="AJ203" s="752">
        <v>46342</v>
      </c>
      <c r="AK203" s="752">
        <v>46342</v>
      </c>
      <c r="AL203" s="752"/>
      <c r="AM203" s="742" t="s">
        <v>402</v>
      </c>
      <c r="AN203" s="752" t="s">
        <v>7609</v>
      </c>
      <c r="AO203" s="752" t="s">
        <v>80</v>
      </c>
      <c r="AP203" s="752" t="s">
        <v>7610</v>
      </c>
      <c r="AQ203" s="741" t="s">
        <v>7611</v>
      </c>
      <c r="AR203" s="741" t="s">
        <v>7611</v>
      </c>
      <c r="AS203" s="741">
        <f>ESS_DATA[[#This Row],[ETA On S/O]]-ESS_DATA[[#This Row],[ETD On S/O]]+1</f>
        <v>53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46350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48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" customHeight="1">
      <c r="A204" s="740" t="s">
        <v>7621</v>
      </c>
      <c r="B204" s="741" t="s">
        <v>7068</v>
      </c>
      <c r="C204" s="741" t="str">
        <f>IFERROR(LEFT(ESS_DATA[[#This Row],[TCL REFERENCE]],FIND(".",ESS_DATA[[#This Row],[TCL REFERENCE]],1)-1),"Main Line")</f>
        <v>26SEP005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7370</v>
      </c>
      <c r="O204" s="743" t="s">
        <v>7083</v>
      </c>
      <c r="P204" s="743" t="s">
        <v>7371</v>
      </c>
      <c r="Q204" s="748"/>
      <c r="R204" s="962">
        <v>42</v>
      </c>
      <c r="S204" s="1020"/>
      <c r="T204" s="741"/>
      <c r="U204" s="750">
        <f>ESS_DATA[[#This Row],[QUANTITY]]/304</f>
        <v>0.13815789473684212</v>
      </c>
      <c r="V204" s="751" t="s">
        <v>7311</v>
      </c>
      <c r="W204" s="986" t="s">
        <v>7619</v>
      </c>
      <c r="X204" s="1002" t="str">
        <f t="shared" si="10"/>
        <v/>
      </c>
      <c r="Y204" s="985">
        <v>46288</v>
      </c>
      <c r="Z204" s="752"/>
      <c r="AA204" s="753">
        <f>WEEKNUM(ESS_DATA[[#This Row],[Pick-Up Date]])</f>
        <v>0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/>
      <c r="AH204" s="752"/>
      <c r="AI204" s="752"/>
      <c r="AJ204" s="752"/>
      <c r="AK204" s="752"/>
      <c r="AL204" s="752"/>
      <c r="AM204" s="742" t="s">
        <v>402</v>
      </c>
      <c r="AN204" s="752"/>
      <c r="AO204" s="752"/>
      <c r="AP204" s="752"/>
      <c r="AQ204" s="741"/>
      <c r="AR204" s="741"/>
      <c r="AS204" s="741">
        <f>ESS_DATA[[#This Row],[ETA On S/O]]-ESS_DATA[[#This Row],[ETD On S/O]]+1</f>
        <v>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46358</v>
      </c>
      <c r="AZ204" s="743">
        <f>YEAR(ESS_DATA[[#This Row],[ETA for New Ark update]])</f>
        <v>2026</v>
      </c>
      <c r="BA204" s="743">
        <f>MONTH(ESS_DATA[[#This Row],[ETA for New Ark update]])</f>
        <v>12</v>
      </c>
      <c r="BB204" s="743">
        <f>IFERROR(_xlfn.ISOWEEKNUM(ESS_DATA[[#This Row],[ETA for New Ark update]]),0)</f>
        <v>49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5.75" customHeight="1">
      <c r="A205" s="740" t="s">
        <v>7622</v>
      </c>
      <c r="B205" s="741" t="s">
        <v>7068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7370</v>
      </c>
      <c r="O205" s="743" t="s">
        <v>7083</v>
      </c>
      <c r="P205" s="743" t="s">
        <v>7371</v>
      </c>
      <c r="Q205" s="748"/>
      <c r="R205" s="962">
        <v>6</v>
      </c>
      <c r="S205" s="1020"/>
      <c r="T205" s="741"/>
      <c r="U205" s="750">
        <f>ESS_DATA[[#This Row],[QUANTITY]]/304</f>
        <v>1.9736842105263157E-2</v>
      </c>
      <c r="V205" s="751" t="s">
        <v>7311</v>
      </c>
      <c r="W205" s="986" t="s">
        <v>7619</v>
      </c>
      <c r="X205" s="1002" t="str">
        <f t="shared" ref="X205:X209" si="11">IF(AL205&lt;&gt;"","COMPLETED",IF(AI205&lt;&gt;"","IN-TRANSIT",""))</f>
        <v/>
      </c>
      <c r="Y205" s="985">
        <v>46288</v>
      </c>
      <c r="Z205" s="752"/>
      <c r="AA205" s="753">
        <f>WEEKNUM(ESS_DATA[[#This Row],[Pick-Up Date]])</f>
        <v>0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/>
      <c r="AH205" s="752"/>
      <c r="AI205" s="752"/>
      <c r="AJ205" s="752"/>
      <c r="AK205" s="752"/>
      <c r="AL205" s="752"/>
      <c r="AM205" s="742" t="s">
        <v>402</v>
      </c>
      <c r="AN205" s="752"/>
      <c r="AO205" s="752"/>
      <c r="AP205" s="752"/>
      <c r="AQ205" s="741"/>
      <c r="AR205" s="741"/>
      <c r="AS205" s="741">
        <f>ESS_DATA[[#This Row],[ETA On S/O]]-ESS_DATA[[#This Row],[ETD On S/O]]+1</f>
        <v>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46358</v>
      </c>
      <c r="AZ205" s="743">
        <f>YEAR(ESS_DATA[[#This Row],[ETA for New Ark update]])</f>
        <v>2026</v>
      </c>
      <c r="BA205" s="743">
        <f>MONTH(ESS_DATA[[#This Row],[ETA for New Ark update]])</f>
        <v>12</v>
      </c>
      <c r="BB205" s="743">
        <f>IFERROR(_xlfn.ISOWEEKNUM(ESS_DATA[[#This Row],[ETA for New Ark update]]),0)</f>
        <v>49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customHeight="1">
      <c r="A206" s="740" t="s">
        <v>7623</v>
      </c>
      <c r="B206" s="741" t="s">
        <v>7068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7355</v>
      </c>
      <c r="O206" s="743" t="s">
        <v>7083</v>
      </c>
      <c r="P206" s="743" t="s">
        <v>7356</v>
      </c>
      <c r="Q206" s="748"/>
      <c r="R206" s="962">
        <v>101</v>
      </c>
      <c r="S206" s="1020"/>
      <c r="T206" s="741"/>
      <c r="U206" s="750">
        <f>ESS_DATA[[#This Row],[QUANTITY]]/304</f>
        <v>0.33223684210526316</v>
      </c>
      <c r="V206" s="751" t="s">
        <v>7311</v>
      </c>
      <c r="W206" s="986" t="s">
        <v>7619</v>
      </c>
      <c r="X206" s="1002" t="str">
        <f>IF(AL206&lt;&gt;"","COMPLETED",IF(AI206&lt;&gt;"","IN-TRANSIT",""))</f>
        <v/>
      </c>
      <c r="Y206" s="985">
        <v>46288</v>
      </c>
      <c r="Z206" s="752"/>
      <c r="AA206" s="753">
        <f>WEEKNUM(ESS_DATA[[#This Row],[Pick-Up Date]])</f>
        <v>0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/>
      <c r="AH206" s="752"/>
      <c r="AI206" s="752"/>
      <c r="AJ206" s="752"/>
      <c r="AK206" s="752"/>
      <c r="AL206" s="752"/>
      <c r="AM206" s="742" t="s">
        <v>402</v>
      </c>
      <c r="AN206" s="752"/>
      <c r="AO206" s="752"/>
      <c r="AP206" s="752"/>
      <c r="AQ206" s="741"/>
      <c r="AR206" s="741"/>
      <c r="AS206" s="741">
        <f>ESS_DATA[[#This Row],[ETA On S/O]]-ESS_DATA[[#This Row],[ETD On S/O]]+1</f>
        <v>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46358</v>
      </c>
      <c r="AZ206" s="743">
        <f>YEAR(ESS_DATA[[#This Row],[ETA for New Ark update]])</f>
        <v>2026</v>
      </c>
      <c r="BA206" s="743">
        <f>MONTH(ESS_DATA[[#This Row],[ETA for New Ark update]])</f>
        <v>12</v>
      </c>
      <c r="BB206" s="743">
        <f>IFERROR(_xlfn.ISOWEEKNUM(ESS_DATA[[#This Row],[ETA for New Ark update]]),0)</f>
        <v>49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4.25" customHeight="1">
      <c r="A207" s="740" t="s">
        <v>7624</v>
      </c>
      <c r="B207" s="741" t="s">
        <v>7068</v>
      </c>
      <c r="C207" s="741" t="str">
        <f>IFERROR(LEFT(ESS_DATA[[#This Row],[TCL REFERENCE]],FIND(".",ESS_DATA[[#This Row],[TCL REFERENCE]],1)-1),"Main Line")</f>
        <v>Main Line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7355</v>
      </c>
      <c r="O207" s="743" t="s">
        <v>7083</v>
      </c>
      <c r="P207" s="743" t="s">
        <v>7356</v>
      </c>
      <c r="Q207" s="748"/>
      <c r="R207" s="962">
        <v>3</v>
      </c>
      <c r="S207" s="1020"/>
      <c r="T207" s="741"/>
      <c r="U207" s="750">
        <f>ESS_DATA[[#This Row],[QUANTITY]]/304</f>
        <v>9.8684210526315784E-3</v>
      </c>
      <c r="V207" s="751" t="s">
        <v>7311</v>
      </c>
      <c r="W207" s="986" t="s">
        <v>7619</v>
      </c>
      <c r="X207" s="1002" t="str">
        <f>IF(AL207&lt;&gt;"","COMPLETED",IF(AI207&lt;&gt;"","IN-TRANSIT",""))</f>
        <v/>
      </c>
      <c r="Y207" s="985">
        <v>46288</v>
      </c>
      <c r="Z207" s="752"/>
      <c r="AA207" s="753">
        <f>WEEKNUM(ESS_DATA[[#This Row],[Pick-Up Date]])</f>
        <v>0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/>
      <c r="AH207" s="752"/>
      <c r="AI207" s="752"/>
      <c r="AJ207" s="752"/>
      <c r="AK207" s="752"/>
      <c r="AL207" s="752"/>
      <c r="AM207" s="742" t="s">
        <v>402</v>
      </c>
      <c r="AN207" s="752"/>
      <c r="AO207" s="752"/>
      <c r="AP207" s="752"/>
      <c r="AQ207" s="741"/>
      <c r="AR207" s="741"/>
      <c r="AS207" s="741">
        <f>ESS_DATA[[#This Row],[ETA On S/O]]-ESS_DATA[[#This Row],[ETD On S/O]]+1</f>
        <v>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46358</v>
      </c>
      <c r="AZ207" s="743">
        <f>YEAR(ESS_DATA[[#This Row],[ETA for New Ark update]])</f>
        <v>2026</v>
      </c>
      <c r="BA207" s="743">
        <f>MONTH(ESS_DATA[[#This Row],[ETA for New Ark update]])</f>
        <v>12</v>
      </c>
      <c r="BB207" s="743">
        <f>IFERROR(_xlfn.ISOWEEKNUM(ESS_DATA[[#This Row],[ETA for New Ark update]]),0)</f>
        <v>49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3.5" customHeight="1">
      <c r="A208" s="740" t="s">
        <v>7625</v>
      </c>
      <c r="B208" s="741" t="s">
        <v>7068</v>
      </c>
      <c r="C208" s="741" t="str">
        <f>IFERROR(LEFT(ESS_DATA[[#This Row],[TCL REFERENCE]],FIND(".",ESS_DATA[[#This Row],[TCL REFERENCE]],1)-1),"Main Line")</f>
        <v>26SEP007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7362</v>
      </c>
      <c r="O208" s="743" t="s">
        <v>7291</v>
      </c>
      <c r="P208" s="743" t="s">
        <v>7363</v>
      </c>
      <c r="Q208" s="748"/>
      <c r="R208" s="1000">
        <v>143</v>
      </c>
      <c r="S208" s="1020"/>
      <c r="T208" s="741"/>
      <c r="U208" s="750">
        <f>ESS_DATA[[#This Row],[QUANTITY]]/304</f>
        <v>0.47039473684210525</v>
      </c>
      <c r="V208" s="751" t="s">
        <v>7311</v>
      </c>
      <c r="W208" s="986" t="s">
        <v>7619</v>
      </c>
      <c r="X208" s="1002" t="str">
        <f t="shared" si="11"/>
        <v/>
      </c>
      <c r="Y208" s="985">
        <v>46288</v>
      </c>
      <c r="Z208" s="752"/>
      <c r="AA208" s="753">
        <f>WEEKNUM(ESS_DATA[[#This Row],[Pick-Up Date]])</f>
        <v>0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/>
      <c r="AH208" s="752"/>
      <c r="AI208" s="752"/>
      <c r="AJ208" s="752"/>
      <c r="AK208" s="752"/>
      <c r="AL208" s="752"/>
      <c r="AM208" s="742" t="s">
        <v>402</v>
      </c>
      <c r="AN208" s="752"/>
      <c r="AO208" s="752"/>
      <c r="AP208" s="752"/>
      <c r="AQ208" s="741"/>
      <c r="AR208" s="741"/>
      <c r="AS208" s="741">
        <f>ESS_DATA[[#This Row],[ETA On S/O]]-ESS_DATA[[#This Row],[ETD On S/O]]+1</f>
        <v>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46358</v>
      </c>
      <c r="AZ208" s="743">
        <f>YEAR(ESS_DATA[[#This Row],[ETA for New Ark update]])</f>
        <v>2026</v>
      </c>
      <c r="BA208" s="743">
        <f>MONTH(ESS_DATA[[#This Row],[ETA for New Ark update]])</f>
        <v>12</v>
      </c>
      <c r="BB208" s="743">
        <f>IFERROR(_xlfn.ISOWEEKNUM(ESS_DATA[[#This Row],[ETA for New Ark update]]),0)</f>
        <v>49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customHeight="1">
      <c r="A209" s="740" t="s">
        <v>7626</v>
      </c>
      <c r="B209" s="741" t="s">
        <v>7068</v>
      </c>
      <c r="C209" s="741" t="str">
        <f>IFERROR(LEFT(ESS_DATA[[#This Row],[TCL REFERENCE]],FIND(".",ESS_DATA[[#This Row],[TCL REFERENCE]],1)-1),"Main Line")</f>
        <v>Main Line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7362</v>
      </c>
      <c r="O209" s="743" t="s">
        <v>7291</v>
      </c>
      <c r="P209" s="743" t="s">
        <v>7363</v>
      </c>
      <c r="Q209" s="748"/>
      <c r="R209" s="1000">
        <v>9</v>
      </c>
      <c r="S209" s="1020"/>
      <c r="T209" s="741"/>
      <c r="U209" s="750">
        <f>ESS_DATA[[#This Row],[QUANTITY]]/304</f>
        <v>2.9605263157894735E-2</v>
      </c>
      <c r="V209" s="751" t="s">
        <v>7311</v>
      </c>
      <c r="W209" s="986" t="s">
        <v>7619</v>
      </c>
      <c r="X209" s="1002" t="str">
        <f t="shared" si="11"/>
        <v/>
      </c>
      <c r="Y209" s="985">
        <v>46288</v>
      </c>
      <c r="Z209" s="752"/>
      <c r="AA209" s="753">
        <f>WEEKNUM(ESS_DATA[[#This Row],[Pick-Up Date]])</f>
        <v>0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/>
      <c r="AH209" s="752"/>
      <c r="AI209" s="752"/>
      <c r="AJ209" s="752"/>
      <c r="AK209" s="752"/>
      <c r="AL209" s="752"/>
      <c r="AM209" s="742" t="s">
        <v>402</v>
      </c>
      <c r="AN209" s="752"/>
      <c r="AO209" s="752"/>
      <c r="AP209" s="752"/>
      <c r="AQ209" s="741"/>
      <c r="AR209" s="741"/>
      <c r="AS209" s="741">
        <f>ESS_DATA[[#This Row],[ETA On S/O]]-ESS_DATA[[#This Row],[ETD On S/O]]+1</f>
        <v>1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46358</v>
      </c>
      <c r="AZ209" s="743">
        <f>YEAR(ESS_DATA[[#This Row],[ETA for New Ark update]])</f>
        <v>2026</v>
      </c>
      <c r="BA209" s="743">
        <f>MONTH(ESS_DATA[[#This Row],[ETA for New Ark update]])</f>
        <v>12</v>
      </c>
      <c r="BB209" s="743">
        <f>IFERROR(_xlfn.ISOWEEKNUM(ESS_DATA[[#This Row],[ETA for New Ark update]]),0)</f>
        <v>49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customHeight="1">
      <c r="A210" s="740" t="s">
        <v>7627</v>
      </c>
      <c r="B210" s="741" t="s">
        <v>7068</v>
      </c>
      <c r="C210" s="741" t="str">
        <f>IFERROR(LEFT(ESS_DATA[[#This Row],[TCL REFERENCE]],FIND(".",ESS_DATA[[#This Row],[TCL REFERENCE]],1)-1),"Main Line")</f>
        <v>26SEP005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7370</v>
      </c>
      <c r="O210" s="743" t="s">
        <v>7083</v>
      </c>
      <c r="P210" s="743" t="s">
        <v>7371</v>
      </c>
      <c r="Q210" s="748"/>
      <c r="R210" s="1000">
        <v>152</v>
      </c>
      <c r="S210" s="1020"/>
      <c r="T210" s="741"/>
      <c r="U210" s="750">
        <f>ESS_DATA[[#This Row],[QUANTITY]]/304</f>
        <v>0.5</v>
      </c>
      <c r="V210" s="751" t="s">
        <v>7340</v>
      </c>
      <c r="W210" s="986" t="s">
        <v>7628</v>
      </c>
      <c r="X210" s="1002" t="str">
        <f>IF(AL210&lt;&gt;"","COMPLETED",IF(AI210&lt;&gt;"","IN-TRANSIT",""))</f>
        <v/>
      </c>
      <c r="Y210" s="985">
        <v>46294</v>
      </c>
      <c r="Z210" s="752"/>
      <c r="AA210" s="753">
        <f>WEEKNUM(ESS_DATA[[#This Row],[Pick-Up Date]])</f>
        <v>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/>
      <c r="AH210" s="752"/>
      <c r="AI210" s="752"/>
      <c r="AJ210" s="752"/>
      <c r="AK210" s="752"/>
      <c r="AL210" s="752"/>
      <c r="AM210" s="742" t="s">
        <v>402</v>
      </c>
      <c r="AN210" s="752"/>
      <c r="AO210" s="752"/>
      <c r="AP210" s="752"/>
      <c r="AQ210" s="741"/>
      <c r="AR210" s="741"/>
      <c r="AS210" s="741">
        <f>ESS_DATA[[#This Row],[ETA On S/O]]-ESS_DATA[[#This Row],[ETD On S/O]]+1</f>
        <v>1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46365</v>
      </c>
      <c r="AZ210" s="743">
        <f>YEAR(ESS_DATA[[#This Row],[ETA for New Ark update]])</f>
        <v>2026</v>
      </c>
      <c r="BA210" s="743">
        <f>MONTH(ESS_DATA[[#This Row],[ETA for New Ark update]])</f>
        <v>12</v>
      </c>
      <c r="BB210" s="743">
        <f>IFERROR(_xlfn.ISOWEEKNUM(ESS_DATA[[#This Row],[ETA for New Ark update]]),0)</f>
        <v>50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4.25" customHeight="1">
      <c r="A211" s="740" t="s">
        <v>7629</v>
      </c>
      <c r="B211" s="741" t="s">
        <v>7068</v>
      </c>
      <c r="C211" s="741" t="str">
        <f>IFERROR(LEFT(ESS_DATA[[#This Row],[TCL REFERENCE]],FIND(".",ESS_DATA[[#This Row],[TCL REFERENCE]],1)-1),"Main Line")</f>
        <v>26SEP007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1"/>
      <c r="H211" s="741"/>
      <c r="I211" s="744"/>
      <c r="J211" s="741"/>
      <c r="K211" s="741"/>
      <c r="L211" s="745"/>
      <c r="M211" s="746"/>
      <c r="N211" s="743" t="s">
        <v>7362</v>
      </c>
      <c r="O211" s="743" t="s">
        <v>7291</v>
      </c>
      <c r="P211" s="743" t="s">
        <v>7363</v>
      </c>
      <c r="Q211" s="748"/>
      <c r="R211" s="1000">
        <v>152</v>
      </c>
      <c r="S211" s="1020"/>
      <c r="T211" s="741"/>
      <c r="U211" s="750">
        <f>ESS_DATA[[#This Row],[QUANTITY]]/304</f>
        <v>0.5</v>
      </c>
      <c r="V211" s="751" t="s">
        <v>7340</v>
      </c>
      <c r="W211" s="986" t="s">
        <v>7628</v>
      </c>
      <c r="X211" s="1002" t="str">
        <f>IF(AL211&lt;&gt;"","COMPLETED",IF(AI211&lt;&gt;"","IN-TRANSIT",""))</f>
        <v/>
      </c>
      <c r="Y211" s="985">
        <v>46294</v>
      </c>
      <c r="Z211" s="752"/>
      <c r="AA211" s="753">
        <f>WEEKNUM(ESS_DATA[[#This Row],[Pick-Up Date]])</f>
        <v>0</v>
      </c>
      <c r="AB211" s="741"/>
      <c r="AC211" s="741"/>
      <c r="AD211" s="741" t="s">
        <v>122</v>
      </c>
      <c r="AE211" s="741" t="s">
        <v>122</v>
      </c>
      <c r="AF211" s="741" t="s">
        <v>78</v>
      </c>
      <c r="AG211" s="752"/>
      <c r="AH211" s="752"/>
      <c r="AI211" s="752"/>
      <c r="AJ211" s="752"/>
      <c r="AK211" s="752"/>
      <c r="AL211" s="752"/>
      <c r="AM211" s="742" t="s">
        <v>402</v>
      </c>
      <c r="AN211" s="752"/>
      <c r="AO211" s="752"/>
      <c r="AP211" s="752"/>
      <c r="AQ211" s="741"/>
      <c r="AR211" s="741"/>
      <c r="AS211" s="741">
        <f>ESS_DATA[[#This Row],[ETA On S/O]]-ESS_DATA[[#This Row],[ETD On S/O]]+1</f>
        <v>1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8</v>
      </c>
      <c r="AY211" s="752">
        <f>IFERROR(ESS_DATA[[#This Row],[ODP ETA Port]]+ESS_DATA[[#This Row],[Customs/Leg3 Assumption]],"n/a")</f>
        <v>46365</v>
      </c>
      <c r="AZ211" s="743">
        <f>YEAR(ESS_DATA[[#This Row],[ETA for New Ark update]])</f>
        <v>2026</v>
      </c>
      <c r="BA211" s="743">
        <f>MONTH(ESS_DATA[[#This Row],[ETA for New Ark update]])</f>
        <v>12</v>
      </c>
      <c r="BB211" s="743">
        <f>IFERROR(_xlfn.ISOWEEKNUM(ESS_DATA[[#This Row],[ETA for New Ark update]]),0)</f>
        <v>50</v>
      </c>
      <c r="BC211" s="743" t="str">
        <f>_xlfn.XLOOKUP(ESS_DATA[[#This Row],[PORT DESTINATION]],Table12[PORT DESTINATION],Table12[Cosco Line],,0)</f>
        <v>AEM</v>
      </c>
      <c r="BD211" s="743"/>
      <c r="BE211" s="754"/>
      <c r="BF211" s="754"/>
      <c r="BG211" s="754"/>
      <c r="BH211" s="754"/>
      <c r="BI211" s="754"/>
    </row>
    <row r="212" spans="1:61" s="755" customFormat="1" ht="13.5" customHeight="1">
      <c r="A212" s="740" t="s">
        <v>7630</v>
      </c>
      <c r="B212" s="741" t="s">
        <v>7068</v>
      </c>
      <c r="C212" s="741" t="str">
        <f>IFERROR(LEFT(ESS_DATA[[#This Row],[TCL REFERENCE]],FIND(".",ESS_DATA[[#This Row],[TCL REFERENCE]],1)-1),"Main Line")</f>
        <v>26SEP008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7105</v>
      </c>
      <c r="O212" s="747" t="s">
        <v>7106</v>
      </c>
      <c r="P212" s="747" t="s">
        <v>7107</v>
      </c>
      <c r="Q212" s="748"/>
      <c r="R212" s="964">
        <v>472</v>
      </c>
      <c r="S212" s="1020"/>
      <c r="T212" s="741"/>
      <c r="U212" s="750">
        <f>ESS_DATA[[#This Row],[QUANTITY]]/276</f>
        <v>1.7101449275362319</v>
      </c>
      <c r="V212" s="751" t="s">
        <v>7631</v>
      </c>
      <c r="W212" s="915" t="s">
        <v>7632</v>
      </c>
      <c r="X212" s="743" t="str">
        <f>IF(AL212&lt;&gt;"","COMPLETED",IF(AI212&lt;&gt;"","IN-TRANSIT",""))</f>
        <v/>
      </c>
      <c r="Y212" s="914">
        <v>46279</v>
      </c>
      <c r="Z212" s="752">
        <v>46285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5" t="s">
        <v>105</v>
      </c>
      <c r="AG212" s="752">
        <v>46291</v>
      </c>
      <c r="AH212" s="752">
        <v>46292</v>
      </c>
      <c r="AI212" s="752"/>
      <c r="AJ212" s="752">
        <v>46340</v>
      </c>
      <c r="AK212" s="752"/>
      <c r="AL212" s="752"/>
      <c r="AM212" s="742" t="s">
        <v>402</v>
      </c>
      <c r="AN212" s="752" t="s">
        <v>7633</v>
      </c>
      <c r="AO212" s="752" t="s">
        <v>161</v>
      </c>
      <c r="AP212" s="752" t="s">
        <v>7634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customHeight="1">
      <c r="A213" s="740" t="s">
        <v>7635</v>
      </c>
      <c r="B213" s="741" t="s">
        <v>7068</v>
      </c>
      <c r="C213" s="741" t="str">
        <f>IFERROR(LEFT(ESS_DATA[[#This Row],[TCL REFERENCE]],FIND(".",ESS_DATA[[#This Row],[TCL REFERENCE]],1)-1),"Main Line")</f>
        <v>Main Line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1"/>
      <c r="H213" s="741"/>
      <c r="I213" s="744"/>
      <c r="J213" s="741"/>
      <c r="K213" s="741"/>
      <c r="L213" s="745"/>
      <c r="M213" s="746"/>
      <c r="N213" s="747" t="s">
        <v>7105</v>
      </c>
      <c r="O213" s="747" t="s">
        <v>7106</v>
      </c>
      <c r="P213" s="747" t="s">
        <v>7107</v>
      </c>
      <c r="Q213" s="741"/>
      <c r="R213" s="963">
        <v>80</v>
      </c>
      <c r="S213" s="1020"/>
      <c r="T213" s="741"/>
      <c r="U213" s="750">
        <f>ESS_DATA[[#This Row],[QUANTITY]]/276</f>
        <v>0.28985507246376813</v>
      </c>
      <c r="V213" s="751" t="s">
        <v>7631</v>
      </c>
      <c r="W213" s="915" t="s">
        <v>7632</v>
      </c>
      <c r="X213" s="743" t="str">
        <f t="shared" si="8"/>
        <v/>
      </c>
      <c r="Y213" s="914">
        <v>46279</v>
      </c>
      <c r="Z213" s="752">
        <v>46285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5" t="s">
        <v>105</v>
      </c>
      <c r="AG213" s="752">
        <v>46291</v>
      </c>
      <c r="AH213" s="752"/>
      <c r="AI213" s="752"/>
      <c r="AJ213" s="752">
        <v>46340</v>
      </c>
      <c r="AK213" s="752"/>
      <c r="AL213" s="752"/>
      <c r="AM213" s="742" t="s">
        <v>402</v>
      </c>
      <c r="AN213" s="752" t="s">
        <v>7633</v>
      </c>
      <c r="AO213" s="752" t="s">
        <v>161</v>
      </c>
      <c r="AP213" s="752" t="s">
        <v>7634</v>
      </c>
      <c r="AQ213" s="741">
        <v>276584236</v>
      </c>
      <c r="AR213" s="741">
        <v>276584236</v>
      </c>
      <c r="AS213" s="741">
        <f>ESS_DATA[[#This Row],[ETA On S/O]]-ESS_DATA[[#This Row],[ETD On S/O]]+1</f>
        <v>50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7</v>
      </c>
      <c r="AY213" s="752">
        <f>IFERROR(ESS_DATA[[#This Row],[ODP ETA Port]]+ESS_DATA[[#This Row],[Customs/Leg3 Assumption]],"n/a")</f>
        <v>46347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47</v>
      </c>
      <c r="BC213" s="743" t="str">
        <f>_xlfn.XLOOKUP(ESS_DATA[[#This Row],[PORT DESTINATION]],Table12[PORT DESTINATION],Table12[Cosco Line],,0)</f>
        <v>AEU</v>
      </c>
      <c r="BD213" s="743"/>
      <c r="BE213" s="754"/>
      <c r="BF213" s="754"/>
      <c r="BG213" s="754"/>
      <c r="BH213" s="754"/>
      <c r="BI213" s="754"/>
    </row>
    <row r="214" spans="1:61" s="755" customFormat="1" ht="15" customHeight="1">
      <c r="A214" s="740" t="s">
        <v>7636</v>
      </c>
      <c r="B214" s="741" t="s">
        <v>7068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1"/>
      <c r="H214" s="741"/>
      <c r="I214" s="744"/>
      <c r="J214" s="741"/>
      <c r="K214" s="741"/>
      <c r="L214" s="745"/>
      <c r="M214" s="746"/>
      <c r="N214" s="747" t="s">
        <v>7105</v>
      </c>
      <c r="O214" s="747" t="s">
        <v>7106</v>
      </c>
      <c r="P214" s="747" t="s">
        <v>7107</v>
      </c>
      <c r="Q214" s="741"/>
      <c r="R214" s="1000">
        <v>276</v>
      </c>
      <c r="S214" s="1020"/>
      <c r="T214" s="741"/>
      <c r="U214" s="750">
        <f>ESS_DATA[[#This Row],[QUANTITY]]/276</f>
        <v>1</v>
      </c>
      <c r="V214" s="751" t="s">
        <v>7436</v>
      </c>
      <c r="W214" s="915" t="s">
        <v>7619</v>
      </c>
      <c r="X214" s="743" t="str">
        <f t="shared" ref="X214:X245" si="12">IF(AL214&lt;&gt;"","COMPLETED",IF(AI214&lt;&gt;"","IN-TRANSIT",""))</f>
        <v/>
      </c>
      <c r="Y214" s="914">
        <v>46287</v>
      </c>
      <c r="Z214" s="752"/>
      <c r="AA214" s="753">
        <f>WEEKNUM(ESS_DATA[[#This Row],[Pick-Up Date]])</f>
        <v>0</v>
      </c>
      <c r="AB214" s="741"/>
      <c r="AC214" s="741"/>
      <c r="AD214" s="741" t="s">
        <v>122</v>
      </c>
      <c r="AE214" s="741" t="s">
        <v>122</v>
      </c>
      <c r="AF214" s="915" t="s">
        <v>124</v>
      </c>
      <c r="AG214" s="752">
        <v>46300</v>
      </c>
      <c r="AH214" s="752"/>
      <c r="AI214" s="752"/>
      <c r="AJ214" s="752">
        <v>46334</v>
      </c>
      <c r="AK214" s="752"/>
      <c r="AL214" s="752"/>
      <c r="AM214" s="742" t="s">
        <v>402</v>
      </c>
      <c r="AN214" s="752" t="s">
        <v>7637</v>
      </c>
      <c r="AO214" s="752" t="s">
        <v>161</v>
      </c>
      <c r="AP214" s="752" t="s">
        <v>7638</v>
      </c>
      <c r="AQ214" s="741">
        <v>276870378</v>
      </c>
      <c r="AR214" s="741">
        <v>276870378</v>
      </c>
      <c r="AS214" s="741">
        <f>ESS_DATA[[#This Row],[ETA On S/O]]-ESS_DATA[[#This Row],[ETD On S/O]]+1</f>
        <v>35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46334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9</v>
      </c>
      <c r="AY214" s="752">
        <f>IFERROR(ESS_DATA[[#This Row],[ODP ETA Port]]+ESS_DATA[[#This Row],[Customs/Leg3 Assumption]],"n/a")</f>
        <v>46343</v>
      </c>
      <c r="AZ214" s="743">
        <f>YEAR(ESS_DATA[[#This Row],[ETA for New Ark update]])</f>
        <v>2026</v>
      </c>
      <c r="BA214" s="743">
        <f>MONTH(ESS_DATA[[#This Row],[ETA for New Ark update]])</f>
        <v>11</v>
      </c>
      <c r="BB214" s="743">
        <f>IFERROR(_xlfn.ISOWEEKNUM(ESS_DATA[[#This Row],[ETA for New Ark update]]),0)</f>
        <v>47</v>
      </c>
      <c r="BC214" s="743" t="str">
        <f>_xlfn.XLOOKUP(ESS_DATA[[#This Row],[PORT DESTINATION]],Table12[PORT DESTINATION],Table12[Cosco Line],,0)</f>
        <v>AEM</v>
      </c>
      <c r="BD214" s="743"/>
      <c r="BE214" s="754"/>
      <c r="BF214" s="754"/>
      <c r="BG214" s="754"/>
      <c r="BH214" s="754"/>
      <c r="BI214" s="754"/>
    </row>
    <row r="215" spans="1:61" s="755" customFormat="1" ht="15" customHeight="1">
      <c r="A215" s="740" t="s">
        <v>7585</v>
      </c>
      <c r="B215" s="741" t="s">
        <v>7068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7105</v>
      </c>
      <c r="O215" s="747" t="s">
        <v>7106</v>
      </c>
      <c r="P215" s="747" t="s">
        <v>7107</v>
      </c>
      <c r="Q215" s="741"/>
      <c r="R215" s="744">
        <v>276</v>
      </c>
      <c r="S215" s="269"/>
      <c r="T215" s="31"/>
      <c r="U215" s="750">
        <f>ESS_DATA[[#This Row],[QUANTITY]]/276</f>
        <v>1</v>
      </c>
      <c r="V215" s="751" t="s">
        <v>7523</v>
      </c>
      <c r="W215" s="915" t="s">
        <v>7619</v>
      </c>
      <c r="X215" s="743" t="str">
        <f>IF(AL215&lt;&gt;"","COMPLETED",IF(AI215&lt;&gt;"","IN-TRANSIT",""))</f>
        <v/>
      </c>
      <c r="Y215" s="914">
        <v>46287</v>
      </c>
      <c r="Z215" s="752"/>
      <c r="AA215" s="753">
        <f>WEEKNUM(ESS_DATA[[#This Row],[Pick-Up Date]])</f>
        <v>0</v>
      </c>
      <c r="AB215" s="741"/>
      <c r="AC215" s="31"/>
      <c r="AD215" s="741" t="s">
        <v>122</v>
      </c>
      <c r="AE215" s="741" t="s">
        <v>122</v>
      </c>
      <c r="AF215" s="741" t="s">
        <v>78</v>
      </c>
      <c r="AG215" s="752">
        <v>46299</v>
      </c>
      <c r="AH215" s="752"/>
      <c r="AI215" s="752"/>
      <c r="AJ215" s="752">
        <v>46351</v>
      </c>
      <c r="AK215" s="752"/>
      <c r="AL215" s="752"/>
      <c r="AM215" s="742" t="s">
        <v>402</v>
      </c>
      <c r="AN215" s="752" t="s">
        <v>7639</v>
      </c>
      <c r="AO215" s="752" t="s">
        <v>161</v>
      </c>
      <c r="AP215" s="752" t="s">
        <v>7640</v>
      </c>
      <c r="AQ215" s="741">
        <v>277022399</v>
      </c>
      <c r="AR215" s="741">
        <v>277022399</v>
      </c>
      <c r="AS215" s="741">
        <f>ESS_DATA[[#This Row],[ETA On S/O]]-ESS_DATA[[#This Row],[ETD On S/O]]+1</f>
        <v>53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31" t="str">
        <f>IF(ISERROR(ESS_DATA[[#This Row],[New Ark PO status]]),"",_xlfn.XLOOKUP(ESS_DATA[[#This Row],[SPTN-PVHK New Ark PO'#]],New_Ark_Data[Purchase order Number],New_Ark_Data[Estimated time of arrival],"",0))</f>
        <v/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46359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54"/>
      <c r="BF215" s="754"/>
      <c r="BG215" s="754"/>
      <c r="BH215" s="754"/>
      <c r="BI215" s="754"/>
    </row>
    <row r="216" spans="1:61" s="755" customFormat="1" ht="15" customHeight="1">
      <c r="A216" s="740" t="s">
        <v>7641</v>
      </c>
      <c r="B216" s="741" t="s">
        <v>7068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7105</v>
      </c>
      <c r="O216" s="747" t="s">
        <v>7106</v>
      </c>
      <c r="P216" s="747" t="s">
        <v>7107</v>
      </c>
      <c r="Q216" s="741"/>
      <c r="R216" s="1000">
        <v>552</v>
      </c>
      <c r="S216" s="1020"/>
      <c r="T216" s="741"/>
      <c r="U216" s="750">
        <f>ESS_DATA[[#This Row],[QUANTITY]]/276</f>
        <v>2</v>
      </c>
      <c r="V216" s="751" t="s">
        <v>7642</v>
      </c>
      <c r="W216" s="915" t="s">
        <v>7628</v>
      </c>
      <c r="X216" s="743" t="str">
        <f t="shared" si="12"/>
        <v/>
      </c>
      <c r="Y216" s="914">
        <v>46293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/>
      <c r="AP216" s="752"/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46365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50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" customHeight="1">
      <c r="A217" s="740" t="s">
        <v>7643</v>
      </c>
      <c r="B217" s="741" t="s">
        <v>7068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7105</v>
      </c>
      <c r="O217" s="747" t="s">
        <v>7106</v>
      </c>
      <c r="P217" s="747" t="s">
        <v>7107</v>
      </c>
      <c r="Q217" s="741"/>
      <c r="R217" s="1000">
        <v>552</v>
      </c>
      <c r="S217" s="1020"/>
      <c r="T217" s="741"/>
      <c r="U217" s="750">
        <f>ESS_DATA[[#This Row],[QUANTITY]]/276</f>
        <v>2</v>
      </c>
      <c r="V217" s="751" t="s">
        <v>7644</v>
      </c>
      <c r="W217" s="915" t="s">
        <v>7645</v>
      </c>
      <c r="X217" s="743" t="str">
        <f t="shared" si="12"/>
        <v/>
      </c>
      <c r="Y217" s="914">
        <v>46303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46372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51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755" customFormat="1" ht="15.75" customHeight="1">
      <c r="A218" s="740" t="s">
        <v>7646</v>
      </c>
      <c r="B218" s="741" t="s">
        <v>7068</v>
      </c>
      <c r="C218" s="741" t="str">
        <f>IFERROR(LEFT(ESS_DATA[[#This Row],[TCL REFERENCE]],FIND(".",ESS_DATA[[#This Row],[TCL REFERENCE]],1)-1),"Main Line")</f>
        <v>26SEP008</v>
      </c>
      <c r="D218" s="741" t="s">
        <v>63</v>
      </c>
      <c r="E218" s="742" t="s">
        <v>64</v>
      </c>
      <c r="F218" s="7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1"/>
      <c r="H218" s="741"/>
      <c r="I218" s="744"/>
      <c r="J218" s="741"/>
      <c r="K218" s="741"/>
      <c r="L218" s="745"/>
      <c r="M218" s="746"/>
      <c r="N218" s="747" t="s">
        <v>7105</v>
      </c>
      <c r="O218" s="747" t="s">
        <v>7106</v>
      </c>
      <c r="P218" s="749" t="s">
        <v>7107</v>
      </c>
      <c r="Q218" s="741"/>
      <c r="R218" s="1001">
        <v>276</v>
      </c>
      <c r="S218" s="1020"/>
      <c r="T218" s="741"/>
      <c r="U218" s="750">
        <f>ESS_DATA[[#This Row],[QUANTITY]]/276</f>
        <v>1</v>
      </c>
      <c r="V218" s="751" t="s">
        <v>7647</v>
      </c>
      <c r="W218" s="915" t="s">
        <v>7648</v>
      </c>
      <c r="X218" s="743" t="str">
        <f t="shared" si="12"/>
        <v/>
      </c>
      <c r="Y218" s="914">
        <v>46307</v>
      </c>
      <c r="Z218" s="752"/>
      <c r="AA218" s="753">
        <f>WEEKNUM(ESS_DATA[[#This Row],[Pick-Up Date]])</f>
        <v>0</v>
      </c>
      <c r="AB218" s="741"/>
      <c r="AC218" s="741"/>
      <c r="AD218" s="741" t="s">
        <v>122</v>
      </c>
      <c r="AE218" s="741" t="s">
        <v>122</v>
      </c>
      <c r="AF218" s="741" t="s">
        <v>78</v>
      </c>
      <c r="AG218" s="752"/>
      <c r="AH218" s="752"/>
      <c r="AI218" s="752"/>
      <c r="AJ218" s="752"/>
      <c r="AK218" s="752"/>
      <c r="AL218" s="752"/>
      <c r="AM218" s="742" t="s">
        <v>402</v>
      </c>
      <c r="AN218" s="752"/>
      <c r="AO218" s="752"/>
      <c r="AP218" s="752"/>
      <c r="AQ218" s="741"/>
      <c r="AR218" s="741"/>
      <c r="AS218" s="741">
        <f>ESS_DATA[[#This Row],[ETA On S/O]]-ESS_DATA[[#This Row],[ETD On S/O]]+1</f>
        <v>1</v>
      </c>
      <c r="AT218" s="741"/>
      <c r="AU218" s="752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1">
        <f>IF(ESS_DATA[[#This Row],[New Ark PO Type]]="Offshore",0,IFERROR(VLOOKUP(ESS_DATA[[#This Row],[PORT OF LOADING]]&amp;ESS_DATA[[#This Row],[PORT DESTINATION]],LT_REF[],7,0),14))</f>
        <v>8</v>
      </c>
      <c r="AY218" s="752">
        <f>IFERROR(ESS_DATA[[#This Row],[ODP ETA Port]]+ESS_DATA[[#This Row],[Customs/Leg3 Assumption]],"n/a")</f>
        <v>46379</v>
      </c>
      <c r="AZ218" s="743">
        <f>YEAR(ESS_DATA[[#This Row],[ETA for New Ark update]])</f>
        <v>2026</v>
      </c>
      <c r="BA218" s="743">
        <f>MONTH(ESS_DATA[[#This Row],[ETA for New Ark update]])</f>
        <v>12</v>
      </c>
      <c r="BB218" s="743">
        <f>IFERROR(_xlfn.ISOWEEKNUM(ESS_DATA[[#This Row],[ETA for New Ark update]]),0)</f>
        <v>52</v>
      </c>
      <c r="BC218" s="743" t="str">
        <f>_xlfn.XLOOKUP(ESS_DATA[[#This Row],[PORT DESTINATION]],Table12[PORT DESTINATION],Table12[Cosco Line],,0)</f>
        <v>AEM</v>
      </c>
      <c r="BD218" s="743"/>
      <c r="BE218" s="754"/>
      <c r="BF218" s="754"/>
      <c r="BG218" s="754"/>
      <c r="BH218" s="754"/>
      <c r="BI218" s="754"/>
    </row>
    <row r="219" spans="1:61" s="615" customFormat="1" ht="15.75" customHeight="1">
      <c r="A219" s="352" t="s">
        <v>7617</v>
      </c>
      <c r="B219" s="341" t="s">
        <v>7556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2" t="s">
        <v>7649</v>
      </c>
      <c r="O219" s="350" t="s">
        <v>7650</v>
      </c>
      <c r="P219" s="652" t="s">
        <v>7651</v>
      </c>
      <c r="Q219" s="344"/>
      <c r="R219" s="652">
        <v>18</v>
      </c>
      <c r="S219" s="346"/>
      <c r="T219" s="341"/>
      <c r="U219" s="347">
        <f>ESS_DATA[[#This Row],[QUANTITY]]/129</f>
        <v>0.13953488372093023</v>
      </c>
      <c r="V219" s="614" t="s">
        <v>7652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5.75" customHeight="1">
      <c r="A220" s="352" t="s">
        <v>7653</v>
      </c>
      <c r="B220" s="341" t="s">
        <v>7556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3" t="s">
        <v>7561</v>
      </c>
      <c r="O220" s="350" t="s">
        <v>7562</v>
      </c>
      <c r="P220" s="652" t="s">
        <v>7654</v>
      </c>
      <c r="Q220" s="344"/>
      <c r="R220" s="652">
        <v>27</v>
      </c>
      <c r="S220" s="346"/>
      <c r="T220" s="341"/>
      <c r="U220" s="347">
        <f>ESS_DATA[[#This Row],[QUANTITY]]/129</f>
        <v>0.20930232558139536</v>
      </c>
      <c r="V220" s="614" t="s">
        <v>7652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" customHeight="1">
      <c r="A221" s="352" t="s">
        <v>7655</v>
      </c>
      <c r="B221" s="341" t="s">
        <v>7556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3" t="s">
        <v>7569</v>
      </c>
      <c r="O221" s="350" t="s">
        <v>7570</v>
      </c>
      <c r="P221" s="652" t="s">
        <v>7656</v>
      </c>
      <c r="Q221" s="344"/>
      <c r="R221" s="652">
        <v>54</v>
      </c>
      <c r="S221" s="346"/>
      <c r="T221" s="341"/>
      <c r="U221" s="347">
        <f>ESS_DATA[[#This Row],[QUANTITY]]/129</f>
        <v>0.41860465116279072</v>
      </c>
      <c r="V221" s="614" t="s">
        <v>7652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15" customFormat="1" ht="18.75" customHeight="1">
      <c r="A222" s="352" t="s">
        <v>7657</v>
      </c>
      <c r="B222" s="341" t="s">
        <v>7556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3" t="s">
        <v>7573</v>
      </c>
      <c r="O222" s="350" t="s">
        <v>7574</v>
      </c>
      <c r="P222" s="668" t="s">
        <v>7658</v>
      </c>
      <c r="Q222" s="344"/>
      <c r="R222" s="652">
        <v>30</v>
      </c>
      <c r="S222" s="346"/>
      <c r="T222" s="341"/>
      <c r="U222" s="347">
        <f>ESS_DATA[[#This Row],[QUANTITY]]/129</f>
        <v>0.23255813953488372</v>
      </c>
      <c r="V222" s="614" t="s">
        <v>7652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 t="s">
        <v>402</v>
      </c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321" customFormat="1" ht="18.75" customHeight="1">
      <c r="A223" s="1299" t="s">
        <v>7659</v>
      </c>
      <c r="B223" s="1300" t="s">
        <v>7660</v>
      </c>
      <c r="C223" s="1300" t="str">
        <f>IFERROR(LEFT(ESS_DATA[[#This Row],[TCL REFERENCE]],FIND(".",ESS_DATA[[#This Row],[TCL REFERENCE]],1)-1),"Main Line")</f>
        <v>Main Line</v>
      </c>
      <c r="D223" s="1301" t="s">
        <v>68</v>
      </c>
      <c r="E223" s="1301" t="s">
        <v>68</v>
      </c>
      <c r="F223" s="1301" t="s">
        <v>68</v>
      </c>
      <c r="G223" s="1300"/>
      <c r="H223" s="1300" t="s">
        <v>7273</v>
      </c>
      <c r="I223" s="1302"/>
      <c r="J223" s="1300"/>
      <c r="K223" s="1300"/>
      <c r="L223" s="1303"/>
      <c r="M223" s="1304"/>
      <c r="N223" s="1305" t="s">
        <v>7561</v>
      </c>
      <c r="O223" s="1306" t="s">
        <v>7562</v>
      </c>
      <c r="P223" s="1306" t="s">
        <v>7563</v>
      </c>
      <c r="Q223" s="1307"/>
      <c r="R223" s="1308">
        <v>54</v>
      </c>
      <c r="S223" s="269"/>
      <c r="T223" s="31"/>
      <c r="U223" s="1313">
        <f>ESS_DATA[[#This Row],[QUANTITY]]/124</f>
        <v>0.43548387096774194</v>
      </c>
      <c r="V223" s="1314" t="s">
        <v>7661</v>
      </c>
      <c r="W223" s="1300" t="s">
        <v>7662</v>
      </c>
      <c r="X223" s="1315" t="str">
        <f t="shared" si="13"/>
        <v/>
      </c>
      <c r="Y223" s="1316">
        <v>46263</v>
      </c>
      <c r="Z223" s="1316">
        <v>46275</v>
      </c>
      <c r="AA223" s="1317">
        <f>WEEKNUM(ESS_DATA[[#This Row],[Pick-Up Date]])</f>
        <v>37</v>
      </c>
      <c r="AB223" s="1300" t="s">
        <v>6885</v>
      </c>
      <c r="AC223" s="31"/>
      <c r="AD223" s="1304" t="s">
        <v>288</v>
      </c>
      <c r="AE223" s="1304" t="s">
        <v>7276</v>
      </c>
      <c r="AF223" s="1318" t="s">
        <v>6960</v>
      </c>
      <c r="AG223" s="1316">
        <v>46278</v>
      </c>
      <c r="AH223" s="1316">
        <v>46277</v>
      </c>
      <c r="AI223" s="1316"/>
      <c r="AJ223" s="1316">
        <v>46282</v>
      </c>
      <c r="AK223" s="1316">
        <v>46282</v>
      </c>
      <c r="AL223" s="1316"/>
      <c r="AM223" s="1319" t="s">
        <v>402</v>
      </c>
      <c r="AN223" s="1316" t="s">
        <v>7663</v>
      </c>
      <c r="AO223" s="1316" t="s">
        <v>161</v>
      </c>
      <c r="AP223" s="1316" t="s">
        <v>7664</v>
      </c>
      <c r="AQ223" s="1300"/>
      <c r="AR223" s="1300" t="s">
        <v>7665</v>
      </c>
      <c r="AS223" s="1300">
        <f>ESS_DATA[[#This Row],[ETA On S/O]]-ESS_DATA[[#This Row],[ETD On S/O]]+1</f>
        <v>5</v>
      </c>
      <c r="AT223" s="1300"/>
      <c r="AU223" s="1316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16" t="str">
        <f>IF(ISERROR(ESS_DATA[[#This Row],[New Ark PO status]]),"",_xlfn.XLOOKUP(ESS_DATA[[#This Row],[SPTN-PVHK New Ark PO'#]],New_Ark_Data[Purchase order Number],New_Ark_Data[Estimated time of arrival],"",0))</f>
        <v/>
      </c>
      <c r="AX223" s="1300">
        <f>IF(ESS_DATA[[#This Row],[New Ark PO Type]]="Offshore",0,IFERROR(VLOOKUP(ESS_DATA[[#This Row],[PORT OF LOADING]]&amp;ESS_DATA[[#This Row],[PORT DESTINATION]],LT_REF[],7,0),14))</f>
        <v>14</v>
      </c>
      <c r="AY223" s="1316">
        <f>IFERROR(ESS_DATA[[#This Row],[ODP ETA Port]]+ESS_DATA[[#This Row],[Customs/Leg3 Assumption]],"n/a")</f>
        <v>46296</v>
      </c>
      <c r="AZ223" s="1315">
        <f>YEAR(ESS_DATA[[#This Row],[ETA for New Ark update]])</f>
        <v>2026</v>
      </c>
      <c r="BA223" s="1315">
        <f>MONTH(ESS_DATA[[#This Row],[ETA for New Ark update]])</f>
        <v>10</v>
      </c>
      <c r="BB223" s="1315">
        <f>IFERROR(_xlfn.ISOWEEKNUM(ESS_DATA[[#This Row],[ETA for New Ark update]]),0)</f>
        <v>40</v>
      </c>
      <c r="BC223" s="1315" t="str">
        <f>_xlfn.XLOOKUP(ESS_DATA[[#This Row],[PORT DESTINATION]],Table12[PORT DESTINATION],Table12[Cosco Line],,0)</f>
        <v>n/a</v>
      </c>
      <c r="BD223" s="1315"/>
      <c r="BE223" s="1320"/>
      <c r="BF223" s="1320"/>
      <c r="BG223" s="1320"/>
      <c r="BH223" s="1320"/>
      <c r="BI223" s="1320"/>
    </row>
    <row r="224" spans="1:61" s="1321" customFormat="1" ht="19.5" customHeight="1">
      <c r="A224" s="1299" t="s">
        <v>7666</v>
      </c>
      <c r="B224" s="1300" t="s">
        <v>7660</v>
      </c>
      <c r="C224" s="1300" t="str">
        <f>IFERROR(LEFT(ESS_DATA[[#This Row],[TCL REFERENCE]],FIND(".",ESS_DATA[[#This Row],[TCL REFERENCE]],1)-1),"Main Line")</f>
        <v>Main Line</v>
      </c>
      <c r="D224" s="1301" t="s">
        <v>68</v>
      </c>
      <c r="E224" s="1301" t="s">
        <v>68</v>
      </c>
      <c r="F224" s="1301" t="s">
        <v>68</v>
      </c>
      <c r="G224" s="1300"/>
      <c r="H224" s="1300" t="s">
        <v>7273</v>
      </c>
      <c r="I224" s="1302"/>
      <c r="J224" s="1300"/>
      <c r="K224" s="1300"/>
      <c r="L224" s="1303"/>
      <c r="M224" s="1304"/>
      <c r="N224" s="1306" t="s">
        <v>7569</v>
      </c>
      <c r="O224" s="1306" t="s">
        <v>7570</v>
      </c>
      <c r="P224" s="1309" t="s">
        <v>7656</v>
      </c>
      <c r="Q224" s="1310"/>
      <c r="R224" s="1311">
        <v>54</v>
      </c>
      <c r="S224" s="269"/>
      <c r="T224" s="31"/>
      <c r="U224" s="1313">
        <f>ESS_DATA[[#This Row],[QUANTITY]]/124</f>
        <v>0.43548387096774194</v>
      </c>
      <c r="V224" s="1314" t="s">
        <v>7661</v>
      </c>
      <c r="W224" s="1300" t="s">
        <v>7662</v>
      </c>
      <c r="X224" s="1315" t="str">
        <f t="shared" si="13"/>
        <v/>
      </c>
      <c r="Y224" s="1316">
        <v>46263</v>
      </c>
      <c r="Z224" s="1316">
        <v>46275</v>
      </c>
      <c r="AA224" s="1317">
        <f>WEEKNUM(ESS_DATA[[#This Row],[Pick-Up Date]])</f>
        <v>37</v>
      </c>
      <c r="AB224" s="1300" t="s">
        <v>6885</v>
      </c>
      <c r="AC224" s="31"/>
      <c r="AD224" s="1304" t="s">
        <v>288</v>
      </c>
      <c r="AE224" s="1304" t="s">
        <v>7276</v>
      </c>
      <c r="AF224" s="1318" t="s">
        <v>6960</v>
      </c>
      <c r="AG224" s="1316">
        <v>46278</v>
      </c>
      <c r="AH224" s="1316">
        <v>46277</v>
      </c>
      <c r="AI224" s="1316"/>
      <c r="AJ224" s="1316">
        <v>46282</v>
      </c>
      <c r="AK224" s="1316">
        <v>46282</v>
      </c>
      <c r="AL224" s="1316"/>
      <c r="AM224" s="1319" t="s">
        <v>402</v>
      </c>
      <c r="AN224" s="1316" t="s">
        <v>7663</v>
      </c>
      <c r="AO224" s="1316" t="s">
        <v>161</v>
      </c>
      <c r="AP224" s="1316" t="s">
        <v>7664</v>
      </c>
      <c r="AQ224" s="1300"/>
      <c r="AR224" s="1300" t="s">
        <v>7665</v>
      </c>
      <c r="AS224" s="1300">
        <f>ESS_DATA[[#This Row],[ETA On S/O]]-ESS_DATA[[#This Row],[ETD On S/O]]+1</f>
        <v>5</v>
      </c>
      <c r="AT224" s="1300"/>
      <c r="AU224" s="1316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316" t="str">
        <f>IF(ISERROR(ESS_DATA[[#This Row],[New Ark PO status]]),"",_xlfn.XLOOKUP(ESS_DATA[[#This Row],[SPTN-PVHK New Ark PO'#]],New_Ark_Data[Purchase order Number],New_Ark_Data[Estimated time of arrival],"",0))</f>
        <v/>
      </c>
      <c r="AX224" s="1300">
        <f>IF(ESS_DATA[[#This Row],[New Ark PO Type]]="Offshore",0,IFERROR(VLOOKUP(ESS_DATA[[#This Row],[PORT OF LOADING]]&amp;ESS_DATA[[#This Row],[PORT DESTINATION]],LT_REF[],7,0),14))</f>
        <v>14</v>
      </c>
      <c r="AY224" s="1316">
        <f>IFERROR(ESS_DATA[[#This Row],[ODP ETA Port]]+ESS_DATA[[#This Row],[Customs/Leg3 Assumption]],"n/a")</f>
        <v>46296</v>
      </c>
      <c r="AZ224" s="1315">
        <f>YEAR(ESS_DATA[[#This Row],[ETA for New Ark update]])</f>
        <v>2026</v>
      </c>
      <c r="BA224" s="1315">
        <f>MONTH(ESS_DATA[[#This Row],[ETA for New Ark update]])</f>
        <v>10</v>
      </c>
      <c r="BB224" s="1315">
        <f>IFERROR(_xlfn.ISOWEEKNUM(ESS_DATA[[#This Row],[ETA for New Ark update]]),0)</f>
        <v>40</v>
      </c>
      <c r="BC224" s="1315" t="str">
        <f>_xlfn.XLOOKUP(ESS_DATA[[#This Row],[PORT DESTINATION]],Table12[PORT DESTINATION],Table12[Cosco Line],,0)</f>
        <v>n/a</v>
      </c>
      <c r="BD224" s="1315"/>
      <c r="BE224" s="1320"/>
      <c r="BF224" s="1320"/>
      <c r="BG224" s="1320"/>
      <c r="BH224" s="1320"/>
      <c r="BI224" s="1320"/>
    </row>
    <row r="225" spans="1:61" s="1321" customFormat="1" ht="19.5" customHeight="1">
      <c r="A225" s="1299" t="s">
        <v>7667</v>
      </c>
      <c r="B225" s="1300" t="s">
        <v>7660</v>
      </c>
      <c r="C225" s="1300" t="str">
        <f>IFERROR(LEFT(ESS_DATA[[#This Row],[TCL REFERENCE]],FIND(".",ESS_DATA[[#This Row],[TCL REFERENCE]],1)-1),"Main Line")</f>
        <v>Main Line</v>
      </c>
      <c r="D225" s="1301" t="s">
        <v>68</v>
      </c>
      <c r="E225" s="1301" t="s">
        <v>68</v>
      </c>
      <c r="F225" s="1301" t="s">
        <v>68</v>
      </c>
      <c r="G225" s="1300"/>
      <c r="H225" s="1300" t="s">
        <v>7273</v>
      </c>
      <c r="I225" s="1302"/>
      <c r="J225" s="1300"/>
      <c r="K225" s="1300"/>
      <c r="L225" s="1303"/>
      <c r="M225" s="1304"/>
      <c r="N225" s="1306" t="s">
        <v>7573</v>
      </c>
      <c r="O225" s="1306" t="s">
        <v>7574</v>
      </c>
      <c r="P225" s="1312" t="s">
        <v>7658</v>
      </c>
      <c r="Q225" s="1310"/>
      <c r="R225" s="1311">
        <v>16</v>
      </c>
      <c r="S225" s="269"/>
      <c r="T225" s="31"/>
      <c r="U225" s="1313">
        <f>ESS_DATA[[#This Row],[QUANTITY]]/124</f>
        <v>0.12903225806451613</v>
      </c>
      <c r="V225" s="1314" t="s">
        <v>7661</v>
      </c>
      <c r="W225" s="1300" t="s">
        <v>7662</v>
      </c>
      <c r="X225" s="1315" t="str">
        <f t="shared" si="13"/>
        <v/>
      </c>
      <c r="Y225" s="1316">
        <v>46263</v>
      </c>
      <c r="Z225" s="1316">
        <v>46275</v>
      </c>
      <c r="AA225" s="1317">
        <f>WEEKNUM(ESS_DATA[[#This Row],[Pick-Up Date]])</f>
        <v>37</v>
      </c>
      <c r="AB225" s="1300" t="s">
        <v>6885</v>
      </c>
      <c r="AC225" s="31"/>
      <c r="AD225" s="1304" t="s">
        <v>288</v>
      </c>
      <c r="AE225" s="1304" t="s">
        <v>7276</v>
      </c>
      <c r="AF225" s="1318" t="s">
        <v>6960</v>
      </c>
      <c r="AG225" s="1316">
        <v>46278</v>
      </c>
      <c r="AH225" s="1316">
        <v>46277</v>
      </c>
      <c r="AI225" s="1316"/>
      <c r="AJ225" s="1316">
        <v>46282</v>
      </c>
      <c r="AK225" s="1316">
        <v>46282</v>
      </c>
      <c r="AL225" s="1316"/>
      <c r="AM225" s="1319" t="s">
        <v>402</v>
      </c>
      <c r="AN225" s="1316" t="s">
        <v>7663</v>
      </c>
      <c r="AO225" s="1316" t="s">
        <v>161</v>
      </c>
      <c r="AP225" s="1316" t="s">
        <v>7664</v>
      </c>
      <c r="AQ225" s="1300"/>
      <c r="AR225" s="1300" t="s">
        <v>7665</v>
      </c>
      <c r="AS225" s="1300">
        <f>ESS_DATA[[#This Row],[ETA On S/O]]-ESS_DATA[[#This Row],[ETD On S/O]]+1</f>
        <v>5</v>
      </c>
      <c r="AT225" s="1300"/>
      <c r="AU225" s="131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16" t="str">
        <f>IF(ISERROR(ESS_DATA[[#This Row],[New Ark PO status]]),"",_xlfn.XLOOKUP(ESS_DATA[[#This Row],[SPTN-PVHK New Ark PO'#]],New_Ark_Data[Purchase order Number],New_Ark_Data[Estimated time of arrival],"",0))</f>
        <v/>
      </c>
      <c r="AX225" s="1300">
        <f>IF(ESS_DATA[[#This Row],[New Ark PO Type]]="Offshore",0,IFERROR(VLOOKUP(ESS_DATA[[#This Row],[PORT OF LOADING]]&amp;ESS_DATA[[#This Row],[PORT DESTINATION]],LT_REF[],7,0),14))</f>
        <v>14</v>
      </c>
      <c r="AY225" s="1316">
        <f>IFERROR(ESS_DATA[[#This Row],[ODP ETA Port]]+ESS_DATA[[#This Row],[Customs/Leg3 Assumption]],"n/a")</f>
        <v>46296</v>
      </c>
      <c r="AZ225" s="1315">
        <f>YEAR(ESS_DATA[[#This Row],[ETA for New Ark update]])</f>
        <v>2026</v>
      </c>
      <c r="BA225" s="1315">
        <f>MONTH(ESS_DATA[[#This Row],[ETA for New Ark update]])</f>
        <v>10</v>
      </c>
      <c r="BB225" s="1315">
        <f>IFERROR(_xlfn.ISOWEEKNUM(ESS_DATA[[#This Row],[ETA for New Ark update]]),0)</f>
        <v>40</v>
      </c>
      <c r="BC225" s="1315" t="str">
        <f>_xlfn.XLOOKUP(ESS_DATA[[#This Row],[PORT DESTINATION]],Table12[PORT DESTINATION],Table12[Cosco Line],,0)</f>
        <v>n/a</v>
      </c>
      <c r="BD225" s="1315"/>
      <c r="BE225" s="1320"/>
      <c r="BF225" s="1320"/>
      <c r="BG225" s="1320"/>
      <c r="BH225" s="1320"/>
      <c r="BI225" s="1320"/>
    </row>
    <row r="226" spans="1:61" s="1297" customFormat="1" ht="19.5" customHeight="1">
      <c r="A226" s="1288" t="s">
        <v>7668</v>
      </c>
      <c r="B226" s="1289" t="s">
        <v>7669</v>
      </c>
      <c r="C226" s="1289" t="str">
        <f>IFERROR(LEFT(ESS_DATA[[#This Row],[TCL REFERENCE]],FIND(".",ESS_DATA[[#This Row],[TCL REFERENCE]],1)-1),"Main Line")</f>
        <v>Main Line</v>
      </c>
      <c r="D226" s="1322" t="s">
        <v>68</v>
      </c>
      <c r="E226" s="1322" t="s">
        <v>68</v>
      </c>
      <c r="F226" s="1322" t="s">
        <v>68</v>
      </c>
      <c r="G226" s="1289"/>
      <c r="H226" s="317" t="s">
        <v>7273</v>
      </c>
      <c r="I226" s="1323"/>
      <c r="J226" s="1289"/>
      <c r="K226" s="1289"/>
      <c r="L226" s="1324"/>
      <c r="M226" s="1325"/>
      <c r="N226" s="1326" t="s">
        <v>7670</v>
      </c>
      <c r="O226" s="323" t="s">
        <v>7083</v>
      </c>
      <c r="P226" s="1326" t="s">
        <v>7671</v>
      </c>
      <c r="Q226" s="1291"/>
      <c r="R226" s="1292">
        <v>84</v>
      </c>
      <c r="S226" s="1282"/>
      <c r="T226" s="1277"/>
      <c r="U226" s="325">
        <f>ESS_DATA[[#This Row],[QUANTITY]]/200</f>
        <v>0.42</v>
      </c>
      <c r="V226" s="409" t="s">
        <v>7672</v>
      </c>
      <c r="W226" s="1289" t="s">
        <v>7673</v>
      </c>
      <c r="X226" s="317" t="str">
        <f>IF(AL226&lt;&gt;"","COMPLETED",IF(AI226&lt;&gt;"","IN-TRANSIT",""))</f>
        <v/>
      </c>
      <c r="Y226" s="1293">
        <v>46324</v>
      </c>
      <c r="Z226" s="1293"/>
      <c r="AA226" s="1294">
        <f>WEEKNUM(ESS_DATA[[#This Row],[Pick-Up Date]])</f>
        <v>0</v>
      </c>
      <c r="AB226" s="1289"/>
      <c r="AC226" s="1277"/>
      <c r="AD226" s="1289" t="s">
        <v>122</v>
      </c>
      <c r="AE226" s="1289" t="s">
        <v>122</v>
      </c>
      <c r="AF226" s="1289"/>
      <c r="AG226" s="1293"/>
      <c r="AH226" s="1293"/>
      <c r="AI226" s="1293"/>
      <c r="AJ226" s="1293"/>
      <c r="AK226" s="1293"/>
      <c r="AL226" s="1293"/>
      <c r="AM226" s="323"/>
      <c r="AN226" s="1293"/>
      <c r="AO226" s="1293"/>
      <c r="AP226" s="1293"/>
      <c r="AQ226" s="1289"/>
      <c r="AR226" s="1289"/>
      <c r="AS226" s="1289">
        <f>ESS_DATA[[#This Row],[ETA On S/O]]-ESS_DATA[[#This Row],[ETD On S/O]]+1</f>
        <v>1</v>
      </c>
      <c r="AT226" s="1289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95" t="str">
        <f>IF(ISERROR(ESS_DATA[[#This Row],[New Ark PO status]]),"",_xlfn.XLOOKUP(ESS_DATA[[#This Row],[SPTN-PVHK New Ark PO'#]],New_Ark_Data[Purchase order Number],New_Ark_Data[Estimated time of arrival],"",0))</f>
        <v/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1293">
        <f>IFERROR(ESS_DATA[[#This Row],[ODP ETA Port]]+ESS_DATA[[#This Row],[Customs/Leg3 Assumption]],"n/a")</f>
        <v>14</v>
      </c>
      <c r="AZ226" s="1296">
        <f>YEAR(ESS_DATA[[#This Row],[ETA for New Ark update]])</f>
        <v>1900</v>
      </c>
      <c r="BA226" s="1296">
        <f>MONTH(ESS_DATA[[#This Row],[ETA for New Ark update]])</f>
        <v>1</v>
      </c>
      <c r="BB226" s="1296">
        <f>IFERROR(_xlfn.ISOWEEKNUM(ESS_DATA[[#This Row],[ETA for New Ark update]]),0)</f>
        <v>2</v>
      </c>
      <c r="BC226" s="1296">
        <f>_xlfn.XLOOKUP(ESS_DATA[[#This Row],[PORT DESTINATION]],Table12[PORT DESTINATION],Table12[Cosco Line],,0)</f>
        <v>0</v>
      </c>
      <c r="BD226" s="1296"/>
      <c r="BE226" s="324"/>
      <c r="BF226" s="324"/>
      <c r="BG226" s="324"/>
      <c r="BH226" s="324"/>
      <c r="BI226" s="324"/>
    </row>
    <row r="227" spans="1:61" s="1297" customFormat="1" ht="19.5" customHeight="1">
      <c r="A227" s="1288" t="s">
        <v>7674</v>
      </c>
      <c r="B227" s="1289" t="s">
        <v>7669</v>
      </c>
      <c r="C227" s="1289" t="str">
        <f>IFERROR(LEFT(ESS_DATA[[#This Row],[TCL REFERENCE]],FIND(".",ESS_DATA[[#This Row],[TCL REFERENCE]],1)-1),"Main Line")</f>
        <v>Main Line</v>
      </c>
      <c r="D227" s="1322" t="s">
        <v>68</v>
      </c>
      <c r="E227" s="1322" t="s">
        <v>68</v>
      </c>
      <c r="F227" s="1322" t="s">
        <v>68</v>
      </c>
      <c r="G227" s="1289"/>
      <c r="H227" s="317" t="s">
        <v>7273</v>
      </c>
      <c r="I227" s="1323"/>
      <c r="J227" s="1289"/>
      <c r="K227" s="1289"/>
      <c r="L227" s="1324"/>
      <c r="M227" s="1325"/>
      <c r="N227" s="1326" t="s">
        <v>7675</v>
      </c>
      <c r="O227" s="323" t="s">
        <v>7083</v>
      </c>
      <c r="P227" s="1326" t="s">
        <v>7676</v>
      </c>
      <c r="Q227" s="1291"/>
      <c r="R227" s="1365">
        <v>16</v>
      </c>
      <c r="S227" s="1282"/>
      <c r="T227" s="1277"/>
      <c r="U227" s="325">
        <f>ESS_DATA[[#This Row],[QUANTITY]]/200</f>
        <v>0.08</v>
      </c>
      <c r="V227" s="409" t="s">
        <v>7672</v>
      </c>
      <c r="W227" s="1289" t="s">
        <v>7673</v>
      </c>
      <c r="X227" s="317" t="str">
        <f>IF(AL227&lt;&gt;"","COMPLETED",IF(AI227&lt;&gt;"","IN-TRANSIT",""))</f>
        <v/>
      </c>
      <c r="Y227" s="1293">
        <v>46324</v>
      </c>
      <c r="Z227" s="1293"/>
      <c r="AA227" s="1294">
        <f>WEEKNUM(ESS_DATA[[#This Row],[Pick-Up Date]])</f>
        <v>0</v>
      </c>
      <c r="AB227" s="1289"/>
      <c r="AC227" s="1277"/>
      <c r="AD227" s="1289" t="s">
        <v>122</v>
      </c>
      <c r="AE227" s="1289" t="s">
        <v>122</v>
      </c>
      <c r="AF227" s="1289"/>
      <c r="AG227" s="1293"/>
      <c r="AH227" s="1293"/>
      <c r="AI227" s="1293"/>
      <c r="AJ227" s="1293"/>
      <c r="AK227" s="1293"/>
      <c r="AL227" s="1293"/>
      <c r="AM227" s="323"/>
      <c r="AN227" s="1293"/>
      <c r="AO227" s="1293"/>
      <c r="AP227" s="1293"/>
      <c r="AQ227" s="1289"/>
      <c r="AR227" s="1289"/>
      <c r="AS227" s="1289">
        <f>ESS_DATA[[#This Row],[ETA On S/O]]-ESS_DATA[[#This Row],[ETD On S/O]]+1</f>
        <v>1</v>
      </c>
      <c r="AT227" s="1289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95" t="str">
        <f>IF(ISERROR(ESS_DATA[[#This Row],[New Ark PO status]]),"",_xlfn.XLOOKUP(ESS_DATA[[#This Row],[SPTN-PVHK New Ark PO'#]],New_Ark_Data[Purchase order Number],New_Ark_Data[Estimated time of arrival],"",0))</f>
        <v/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1293">
        <f>IFERROR(ESS_DATA[[#This Row],[ODP ETA Port]]+ESS_DATA[[#This Row],[Customs/Leg3 Assumption]],"n/a")</f>
        <v>14</v>
      </c>
      <c r="AZ227" s="1296">
        <f>YEAR(ESS_DATA[[#This Row],[ETA for New Ark update]])</f>
        <v>1900</v>
      </c>
      <c r="BA227" s="1296">
        <f>MONTH(ESS_DATA[[#This Row],[ETA for New Ark update]])</f>
        <v>1</v>
      </c>
      <c r="BB227" s="1296">
        <f>IFERROR(_xlfn.ISOWEEKNUM(ESS_DATA[[#This Row],[ETA for New Ark update]]),0)</f>
        <v>2</v>
      </c>
      <c r="BC227" s="1296">
        <f>_xlfn.XLOOKUP(ESS_DATA[[#This Row],[PORT DESTINATION]],Table12[PORT DESTINATION],Table12[Cosco Line],,0)</f>
        <v>0</v>
      </c>
      <c r="BD227" s="1296"/>
      <c r="BE227" s="324"/>
      <c r="BF227" s="324"/>
      <c r="BG227" s="324"/>
      <c r="BH227" s="324"/>
      <c r="BI227" s="324"/>
    </row>
    <row r="228" spans="1:61" s="1297" customFormat="1" ht="19.5" customHeight="1">
      <c r="A228" s="1288" t="s">
        <v>7677</v>
      </c>
      <c r="B228" s="1289" t="s">
        <v>7669</v>
      </c>
      <c r="C228" s="1289" t="str">
        <f>IFERROR(LEFT(ESS_DATA[[#This Row],[TCL REFERENCE]],FIND(".",ESS_DATA[[#This Row],[TCL REFERENCE]],1)-1),"Main Line")</f>
        <v>Main Line</v>
      </c>
      <c r="D228" s="1322" t="s">
        <v>68</v>
      </c>
      <c r="E228" s="1322" t="s">
        <v>68</v>
      </c>
      <c r="F228" s="1322" t="s">
        <v>68</v>
      </c>
      <c r="G228" s="1289"/>
      <c r="H228" s="317" t="s">
        <v>7273</v>
      </c>
      <c r="I228" s="1323"/>
      <c r="J228" s="1289"/>
      <c r="K228" s="1289"/>
      <c r="L228" s="1324"/>
      <c r="M228" s="1325"/>
      <c r="N228" s="1326" t="s">
        <v>7678</v>
      </c>
      <c r="O228" s="323" t="s">
        <v>7106</v>
      </c>
      <c r="P228" s="1326" t="s">
        <v>7679</v>
      </c>
      <c r="Q228" s="1291"/>
      <c r="R228" s="1365">
        <v>99</v>
      </c>
      <c r="S228" s="1282"/>
      <c r="T228" s="1277"/>
      <c r="U228" s="325">
        <f>ESS_DATA[[#This Row],[QUANTITY]]/200</f>
        <v>0.495</v>
      </c>
      <c r="V228" s="409" t="s">
        <v>7672</v>
      </c>
      <c r="W228" s="1289" t="s">
        <v>7673</v>
      </c>
      <c r="X228" s="317" t="str">
        <f>IF(AL228&lt;&gt;"","COMPLETED",IF(AI228&lt;&gt;"","IN-TRANSIT",""))</f>
        <v/>
      </c>
      <c r="Y228" s="1293">
        <v>46324</v>
      </c>
      <c r="Z228" s="1293"/>
      <c r="AA228" s="1294">
        <f>WEEKNUM(ESS_DATA[[#This Row],[Pick-Up Date]])</f>
        <v>0</v>
      </c>
      <c r="AB228" s="1289"/>
      <c r="AC228" s="1277"/>
      <c r="AD228" s="1289" t="s">
        <v>122</v>
      </c>
      <c r="AE228" s="1289" t="s">
        <v>122</v>
      </c>
      <c r="AF228" s="1289"/>
      <c r="AG228" s="1293"/>
      <c r="AH228" s="1293"/>
      <c r="AI228" s="1293"/>
      <c r="AJ228" s="1293"/>
      <c r="AK228" s="1293"/>
      <c r="AL228" s="1293"/>
      <c r="AM228" s="323"/>
      <c r="AN228" s="1293"/>
      <c r="AO228" s="1293"/>
      <c r="AP228" s="1293"/>
      <c r="AQ228" s="1289"/>
      <c r="AR228" s="1289"/>
      <c r="AS228" s="1289">
        <f>ESS_DATA[[#This Row],[ETA On S/O]]-ESS_DATA[[#This Row],[ETD On S/O]]+1</f>
        <v>1</v>
      </c>
      <c r="AT228" s="1289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95" t="str">
        <f>IF(ISERROR(ESS_DATA[[#This Row],[New Ark PO status]]),"",_xlfn.XLOOKUP(ESS_DATA[[#This Row],[SPTN-PVHK New Ark PO'#]],New_Ark_Data[Purchase order Number],New_Ark_Data[Estimated time of arrival],"",0))</f>
        <v/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1293">
        <f>IFERROR(ESS_DATA[[#This Row],[ODP ETA Port]]+ESS_DATA[[#This Row],[Customs/Leg3 Assumption]],"n/a")</f>
        <v>14</v>
      </c>
      <c r="AZ228" s="1296">
        <f>YEAR(ESS_DATA[[#This Row],[ETA for New Ark update]])</f>
        <v>1900</v>
      </c>
      <c r="BA228" s="1296">
        <f>MONTH(ESS_DATA[[#This Row],[ETA for New Ark update]])</f>
        <v>1</v>
      </c>
      <c r="BB228" s="1296">
        <f>IFERROR(_xlfn.ISOWEEKNUM(ESS_DATA[[#This Row],[ETA for New Ark update]]),0)</f>
        <v>2</v>
      </c>
      <c r="BC228" s="1296">
        <f>_xlfn.XLOOKUP(ESS_DATA[[#This Row],[PORT DESTINATION]],Table12[PORT DESTINATION],Table12[Cosco Line],,0)</f>
        <v>0</v>
      </c>
      <c r="BD228" s="1296"/>
      <c r="BE228" s="324"/>
      <c r="BF228" s="324"/>
      <c r="BG228" s="324"/>
      <c r="BH228" s="324"/>
      <c r="BI228" s="324"/>
    </row>
    <row r="229" spans="1:61" s="1297" customFormat="1" ht="19.5" customHeight="1">
      <c r="A229" s="1288" t="s">
        <v>7680</v>
      </c>
      <c r="B229" s="1289" t="s">
        <v>7669</v>
      </c>
      <c r="C229" s="1289" t="str">
        <f>IFERROR(LEFT(ESS_DATA[[#This Row],[TCL REFERENCE]],FIND(".",ESS_DATA[[#This Row],[TCL REFERENCE]],1)-1),"Main Line")</f>
        <v>Main Line</v>
      </c>
      <c r="D229" s="1322" t="s">
        <v>68</v>
      </c>
      <c r="E229" s="1322" t="s">
        <v>68</v>
      </c>
      <c r="F229" s="1322" t="s">
        <v>68</v>
      </c>
      <c r="G229" s="1289"/>
      <c r="H229" s="313" t="s">
        <v>7273</v>
      </c>
      <c r="I229" s="1323"/>
      <c r="J229" s="1289"/>
      <c r="K229" s="1289"/>
      <c r="L229" s="1324"/>
      <c r="M229" s="1325"/>
      <c r="N229" s="1326" t="s">
        <v>7678</v>
      </c>
      <c r="O229" s="323" t="s">
        <v>7106</v>
      </c>
      <c r="P229" s="1326" t="s">
        <v>7679</v>
      </c>
      <c r="Q229" s="1291"/>
      <c r="R229" s="1292">
        <v>1</v>
      </c>
      <c r="S229" s="1282"/>
      <c r="T229" s="1277"/>
      <c r="U229" s="325">
        <f>ESS_DATA[[#This Row],[QUANTITY]]/200</f>
        <v>5.0000000000000001E-3</v>
      </c>
      <c r="V229" s="409" t="s">
        <v>7672</v>
      </c>
      <c r="W229" s="1289" t="s">
        <v>7673</v>
      </c>
      <c r="X229" s="317" t="str">
        <f>IF(AL229&lt;&gt;"","COMPLETED",IF(AI229&lt;&gt;"","IN-TRANSIT",""))</f>
        <v/>
      </c>
      <c r="Y229" s="1293">
        <v>46324</v>
      </c>
      <c r="Z229" s="1293"/>
      <c r="AA229" s="1294">
        <f>WEEKNUM(ESS_DATA[[#This Row],[Pick-Up Date]])</f>
        <v>0</v>
      </c>
      <c r="AB229" s="1289"/>
      <c r="AC229" s="1277"/>
      <c r="AD229" s="1289" t="s">
        <v>122</v>
      </c>
      <c r="AE229" s="1289" t="s">
        <v>122</v>
      </c>
      <c r="AF229" s="1289"/>
      <c r="AG229" s="1293"/>
      <c r="AH229" s="1293"/>
      <c r="AI229" s="1293"/>
      <c r="AJ229" s="1293"/>
      <c r="AK229" s="1293"/>
      <c r="AL229" s="1293"/>
      <c r="AM229" s="323"/>
      <c r="AN229" s="1293"/>
      <c r="AO229" s="1293"/>
      <c r="AP229" s="1293"/>
      <c r="AQ229" s="1289"/>
      <c r="AR229" s="1289"/>
      <c r="AS229" s="1289">
        <f>ESS_DATA[[#This Row],[ETA On S/O]]-ESS_DATA[[#This Row],[ETD On S/O]]+1</f>
        <v>1</v>
      </c>
      <c r="AT229" s="1289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95" t="str">
        <f>IF(ISERROR(ESS_DATA[[#This Row],[New Ark PO status]]),"",_xlfn.XLOOKUP(ESS_DATA[[#This Row],[SPTN-PVHK New Ark PO'#]],New_Ark_Data[Purchase order Number],New_Ark_Data[Estimated time of arrival],"",0))</f>
        <v/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1293">
        <f>IFERROR(ESS_DATA[[#This Row],[ODP ETA Port]]+ESS_DATA[[#This Row],[Customs/Leg3 Assumption]],"n/a")</f>
        <v>14</v>
      </c>
      <c r="AZ229" s="1296">
        <f>YEAR(ESS_DATA[[#This Row],[ETA for New Ark update]])</f>
        <v>1900</v>
      </c>
      <c r="BA229" s="1296">
        <f>MONTH(ESS_DATA[[#This Row],[ETA for New Ark update]])</f>
        <v>1</v>
      </c>
      <c r="BB229" s="1296">
        <f>IFERROR(_xlfn.ISOWEEKNUM(ESS_DATA[[#This Row],[ETA for New Ark update]]),0)</f>
        <v>2</v>
      </c>
      <c r="BC229" s="1296">
        <f>_xlfn.XLOOKUP(ESS_DATA[[#This Row],[PORT DESTINATION]],Table12[PORT DESTINATION],Table12[Cosco Line],,0)</f>
        <v>0</v>
      </c>
      <c r="BD229" s="1296"/>
      <c r="BE229" s="324"/>
      <c r="BF229" s="324"/>
      <c r="BG229" s="324"/>
      <c r="BH229" s="324"/>
      <c r="BI229" s="324"/>
    </row>
    <row r="230" spans="1:61" s="893" customFormat="1" ht="16.5" customHeight="1">
      <c r="A230" s="1388" t="s">
        <v>7681</v>
      </c>
      <c r="B230" s="1389" t="s">
        <v>7556</v>
      </c>
      <c r="C230" s="1389" t="str">
        <f>IFERROR(LEFT(ESS_DATA[[#This Row],[TCL REFERENCE]],FIND(".",ESS_DATA[[#This Row],[TCL REFERENCE]],1)-1),"Main Line")</f>
        <v>Main Line</v>
      </c>
      <c r="D230" s="1400" t="s">
        <v>68</v>
      </c>
      <c r="E230" s="1401" t="s">
        <v>68</v>
      </c>
      <c r="F230" s="1401" t="s">
        <v>68</v>
      </c>
      <c r="G230" s="1389"/>
      <c r="H230" s="882" t="s">
        <v>7273</v>
      </c>
      <c r="I230" s="1402"/>
      <c r="J230" s="1389"/>
      <c r="K230" s="1389"/>
      <c r="L230" s="1391"/>
      <c r="M230" s="1392"/>
      <c r="N230" s="882" t="s">
        <v>7682</v>
      </c>
      <c r="O230" s="881" t="s">
        <v>7683</v>
      </c>
      <c r="P230" s="1389" t="s">
        <v>7684</v>
      </c>
      <c r="Q230" s="1393"/>
      <c r="R230" s="1394">
        <v>8</v>
      </c>
      <c r="S230" s="1395"/>
      <c r="T230" s="1389"/>
      <c r="U230" s="1396">
        <v>1</v>
      </c>
      <c r="V230" s="889" t="s">
        <v>7672</v>
      </c>
      <c r="W230" s="1389" t="s">
        <v>7685</v>
      </c>
      <c r="X230" s="882" t="str">
        <f>IF(AL230&lt;&gt;"","COMPLETED",IF(AI230&lt;&gt;"","IN-TRANSIT",""))</f>
        <v/>
      </c>
      <c r="Y230" s="1390">
        <v>46279</v>
      </c>
      <c r="Z230" s="1390"/>
      <c r="AA230" s="1397">
        <f>WEEKNUM(ESS_DATA[[#This Row],[Pick-Up Date]])</f>
        <v>0</v>
      </c>
      <c r="AB230" s="1389"/>
      <c r="AC230" s="1389"/>
      <c r="AD230" s="1389" t="s">
        <v>288</v>
      </c>
      <c r="AE230" s="880" t="s">
        <v>288</v>
      </c>
      <c r="AF230" s="1389" t="s">
        <v>7686</v>
      </c>
      <c r="AG230" s="1390"/>
      <c r="AH230" s="1390"/>
      <c r="AI230" s="1390"/>
      <c r="AJ230" s="1390"/>
      <c r="AK230" s="1390"/>
      <c r="AL230" s="1390"/>
      <c r="AM230" s="881" t="s">
        <v>402</v>
      </c>
      <c r="AN230" s="1390"/>
      <c r="AO230" s="1390"/>
      <c r="AP230" s="1390"/>
      <c r="AQ230" s="1389"/>
      <c r="AR230" s="1389"/>
      <c r="AS230" s="1389">
        <f>ESS_DATA[[#This Row],[ETA On S/O]]-ESS_DATA[[#This Row],[ETD On S/O]]+1</f>
        <v>1</v>
      </c>
      <c r="AT230" s="1389"/>
      <c r="AU230" s="89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13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98">
        <f>IF(ISERROR(ESS_DATA[[#This Row],[New Ark PO status]]),"",_xlfn.XLOOKUP(ESS_DATA[[#This Row],[SPTN-PVHK New Ark PO'#]],New_Ark_Data[Purchase order Number],New_Ark_Data[Estimated time of arrival],"",0))</f>
        <v>0</v>
      </c>
      <c r="AX230" s="880">
        <f>IF(ESS_DATA[[#This Row],[New Ark PO Type]]="Offshore",0,IFERROR(VLOOKUP(ESS_DATA[[#This Row],[PORT OF LOADING]]&amp;ESS_DATA[[#This Row],[PORT DESTINATION]],LT_REF[],7,0),14))</f>
        <v>14</v>
      </c>
      <c r="AY230" s="1390">
        <f>IFERROR(ESS_DATA[[#This Row],[ODP ETA Port]]+ESS_DATA[[#This Row],[Customs/Leg3 Assumption]],"n/a")</f>
        <v>14</v>
      </c>
      <c r="AZ230" s="1399">
        <f>YEAR(ESS_DATA[[#This Row],[ETA for New Ark update]])</f>
        <v>1900</v>
      </c>
      <c r="BA230" s="1399">
        <f>MONTH(ESS_DATA[[#This Row],[ETA for New Ark update]])</f>
        <v>1</v>
      </c>
      <c r="BB230" s="1399">
        <f>IFERROR(_xlfn.ISOWEEKNUM(ESS_DATA[[#This Row],[ETA for New Ark update]]),0)</f>
        <v>2</v>
      </c>
      <c r="BC230" s="1399" t="str">
        <f>_xlfn.XLOOKUP(ESS_DATA[[#This Row],[PORT DESTINATION]],Table12[PORT DESTINATION],Table12[Cosco Line],,0)</f>
        <v>n/a</v>
      </c>
      <c r="BD230" s="1399"/>
      <c r="BE230" s="892"/>
      <c r="BF230" s="892"/>
      <c r="BG230" s="892"/>
      <c r="BH230" s="892"/>
      <c r="BI230" s="892"/>
    </row>
    <row r="231" spans="1:61" s="912" customFormat="1" ht="15.75" customHeight="1">
      <c r="A231" s="326" t="s">
        <v>7687</v>
      </c>
      <c r="B231" s="328" t="s">
        <v>7068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1298"/>
      <c r="I231" s="332"/>
      <c r="J231" s="328"/>
      <c r="K231" s="328"/>
      <c r="L231" s="329"/>
      <c r="M231" s="330"/>
      <c r="N231" s="911" t="s">
        <v>7116</v>
      </c>
      <c r="O231" s="911" t="s">
        <v>7083</v>
      </c>
      <c r="P231" s="911" t="s">
        <v>7117</v>
      </c>
      <c r="Q231" s="355"/>
      <c r="R231" s="332">
        <v>23</v>
      </c>
      <c r="S231" s="333"/>
      <c r="T231" s="328"/>
      <c r="U231" s="338">
        <f>ESS_DATA[[#This Row],[QUANTITY]]/130</f>
        <v>0.17692307692307693</v>
      </c>
      <c r="V231" s="369" t="s">
        <v>7108</v>
      </c>
      <c r="W231" s="328" t="s">
        <v>7688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 t="s">
        <v>105</v>
      </c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7</v>
      </c>
      <c r="AY231" s="334">
        <f>IFERROR(ESS_DATA[[#This Row],[ODP ETA Port]]+ESS_DATA[[#This Row],[Customs/Leg3 Assumption]],"n/a")</f>
        <v>7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1</v>
      </c>
      <c r="BC231" s="327" t="str">
        <f>_xlfn.XLOOKUP(ESS_DATA[[#This Row],[PORT DESTINATION]],Table12[PORT DESTINATION],Table12[Cosco Line],,0)</f>
        <v>AEU</v>
      </c>
      <c r="BD231" s="327"/>
      <c r="BE231" s="337"/>
      <c r="BF231" s="337"/>
      <c r="BG231" s="337"/>
      <c r="BH231" s="337"/>
      <c r="BI231" s="337"/>
    </row>
    <row r="232" spans="1:61" s="912" customFormat="1" ht="17.25" customHeight="1">
      <c r="A232" s="326" t="s">
        <v>7689</v>
      </c>
      <c r="B232" s="328" t="s">
        <v>7068</v>
      </c>
      <c r="C232" s="328" t="str">
        <f>IFERROR(LEFT(ESS_DATA[[#This Row],[TCL REFERENCE]],FIND(".",ESS_DATA[[#This Row],[TCL REFERENCE]],1)-1),"Main Line")</f>
        <v>Main Line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1" t="s">
        <v>7116</v>
      </c>
      <c r="O232" s="911" t="s">
        <v>7083</v>
      </c>
      <c r="P232" s="911" t="s">
        <v>7117</v>
      </c>
      <c r="Q232" s="355"/>
      <c r="R232" s="332">
        <v>1</v>
      </c>
      <c r="S232" s="333"/>
      <c r="T232" s="328"/>
      <c r="U232" s="338">
        <f>ESS_DATA[[#This Row],[QUANTITY]]/130</f>
        <v>7.6923076923076927E-3</v>
      </c>
      <c r="V232" s="369" t="s">
        <v>7108</v>
      </c>
      <c r="W232" s="328" t="s">
        <v>7688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 t="s">
        <v>105</v>
      </c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7</v>
      </c>
      <c r="AY232" s="334">
        <f>IFERROR(ESS_DATA[[#This Row],[ODP ETA Port]]+ESS_DATA[[#This Row],[Customs/Leg3 Assumption]],"n/a")</f>
        <v>7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1</v>
      </c>
      <c r="BC232" s="327" t="str">
        <f>_xlfn.XLOOKUP(ESS_DATA[[#This Row],[PORT DESTINATION]],Table12[PORT DESTINATION],Table12[Cosco Line],,0)</f>
        <v>AEU</v>
      </c>
      <c r="BD232" s="327"/>
      <c r="BE232" s="337"/>
      <c r="BF232" s="337"/>
      <c r="BG232" s="337"/>
      <c r="BH232" s="337"/>
      <c r="BI232" s="337"/>
    </row>
    <row r="233" spans="1:61" s="912" customFormat="1" ht="15.75" customHeight="1">
      <c r="A233" s="326" t="s">
        <v>7690</v>
      </c>
      <c r="B233" s="328" t="s">
        <v>7068</v>
      </c>
      <c r="C233" s="328" t="str">
        <f>IFERROR(LEFT(ESS_DATA[[#This Row],[TCL REFERENCE]],FIND(".",ESS_DATA[[#This Row],[TCL REFERENCE]],1)-1),"Main Line")</f>
        <v>26OCT002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1" t="s">
        <v>7082</v>
      </c>
      <c r="O233" s="911" t="s">
        <v>7083</v>
      </c>
      <c r="P233" s="911" t="s">
        <v>7084</v>
      </c>
      <c r="Q233" s="355"/>
      <c r="R233" s="332">
        <v>66</v>
      </c>
      <c r="S233" s="333"/>
      <c r="T233" s="328"/>
      <c r="U233" s="338">
        <f>ESS_DATA[[#This Row],[QUANTITY]]/130</f>
        <v>0.50769230769230766</v>
      </c>
      <c r="V233" s="369" t="s">
        <v>7108</v>
      </c>
      <c r="W233" s="328" t="s">
        <v>7688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 t="s">
        <v>105</v>
      </c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7</v>
      </c>
      <c r="AY233" s="334">
        <f>IFERROR(ESS_DATA[[#This Row],[ODP ETA Port]]+ESS_DATA[[#This Row],[Customs/Leg3 Assumption]],"n/a")</f>
        <v>7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1</v>
      </c>
      <c r="BC233" s="327" t="str">
        <f>_xlfn.XLOOKUP(ESS_DATA[[#This Row],[PORT DESTINATION]],Table12[PORT DESTINATION],Table12[Cosco Line],,0)</f>
        <v>AEU</v>
      </c>
      <c r="BD233" s="327"/>
      <c r="BE233" s="337"/>
      <c r="BF233" s="337"/>
      <c r="BG233" s="337"/>
      <c r="BH233" s="337"/>
      <c r="BI233" s="337"/>
    </row>
    <row r="234" spans="1:61" s="912" customFormat="1" ht="16.5" customHeight="1">
      <c r="A234" s="326" t="s">
        <v>7691</v>
      </c>
      <c r="B234" s="328" t="s">
        <v>7068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1" t="s">
        <v>7082</v>
      </c>
      <c r="O234" s="911" t="s">
        <v>7083</v>
      </c>
      <c r="P234" s="911" t="s">
        <v>7084</v>
      </c>
      <c r="Q234" s="355"/>
      <c r="R234" s="332">
        <v>10</v>
      </c>
      <c r="S234" s="333"/>
      <c r="T234" s="328"/>
      <c r="U234" s="338">
        <f>ESS_DATA[[#This Row],[QUANTITY]]/130</f>
        <v>7.6923076923076927E-2</v>
      </c>
      <c r="V234" s="369" t="s">
        <v>7108</v>
      </c>
      <c r="W234" s="328" t="s">
        <v>7688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 t="s">
        <v>105</v>
      </c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7</v>
      </c>
      <c r="AY234" s="334">
        <f>IFERROR(ESS_DATA[[#This Row],[ODP ETA Port]]+ESS_DATA[[#This Row],[Customs/Leg3 Assumption]],"n/a")</f>
        <v>7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1</v>
      </c>
      <c r="BC234" s="327" t="str">
        <f>_xlfn.XLOOKUP(ESS_DATA[[#This Row],[PORT DESTINATION]],Table12[PORT DESTINATION],Table12[Cosco Line],,0)</f>
        <v>AEU</v>
      </c>
      <c r="BD234" s="327"/>
      <c r="BE234" s="337"/>
      <c r="BF234" s="337"/>
      <c r="BG234" s="337"/>
      <c r="BH234" s="337"/>
      <c r="BI234" s="337"/>
    </row>
    <row r="235" spans="1:61" s="912" customFormat="1" ht="17.25" customHeight="1">
      <c r="A235" s="326" t="s">
        <v>7692</v>
      </c>
      <c r="B235" s="328" t="s">
        <v>7068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1" t="s">
        <v>7091</v>
      </c>
      <c r="O235" s="911" t="s">
        <v>7083</v>
      </c>
      <c r="P235" s="911" t="s">
        <v>7092</v>
      </c>
      <c r="Q235" s="355"/>
      <c r="R235" s="332">
        <v>29</v>
      </c>
      <c r="S235" s="333"/>
      <c r="T235" s="328"/>
      <c r="U235" s="338">
        <f>ESS_DATA[[#This Row],[QUANTITY]]/130</f>
        <v>0.22307692307692309</v>
      </c>
      <c r="V235" s="369" t="s">
        <v>7108</v>
      </c>
      <c r="W235" s="328" t="s">
        <v>7688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 t="s">
        <v>105</v>
      </c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7</v>
      </c>
      <c r="AY235" s="334">
        <f>IFERROR(ESS_DATA[[#This Row],[ODP ETA Port]]+ESS_DATA[[#This Row],[Customs/Leg3 Assumption]],"n/a")</f>
        <v>7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1</v>
      </c>
      <c r="BC235" s="327" t="str">
        <f>_xlfn.XLOOKUP(ESS_DATA[[#This Row],[PORT DESTINATION]],Table12[PORT DESTINATION],Table12[Cosco Line],,0)</f>
        <v>AEU</v>
      </c>
      <c r="BD235" s="327"/>
      <c r="BE235" s="337"/>
      <c r="BF235" s="337"/>
      <c r="BG235" s="337"/>
      <c r="BH235" s="337"/>
      <c r="BI235" s="337"/>
    </row>
    <row r="236" spans="1:61" s="912" customFormat="1" ht="14.25" customHeight="1">
      <c r="A236" s="326" t="s">
        <v>7693</v>
      </c>
      <c r="B236" s="328" t="s">
        <v>7068</v>
      </c>
      <c r="C236" s="328" t="str">
        <f>IFERROR(LEFT(ESS_DATA[[#This Row],[TCL REFERENCE]],FIND(".",ESS_DATA[[#This Row],[TCL REFERENCE]],1)-1),"Main Line")</f>
        <v>Main Line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1" t="s">
        <v>7091</v>
      </c>
      <c r="O236" s="911" t="s">
        <v>7083</v>
      </c>
      <c r="P236" s="911" t="s">
        <v>7092</v>
      </c>
      <c r="Q236" s="355"/>
      <c r="R236" s="332">
        <v>1</v>
      </c>
      <c r="S236" s="333"/>
      <c r="T236" s="328"/>
      <c r="U236" s="338">
        <f>ESS_DATA[[#This Row],[QUANTITY]]/130</f>
        <v>7.6923076923076927E-3</v>
      </c>
      <c r="V236" s="369" t="s">
        <v>7108</v>
      </c>
      <c r="W236" s="328" t="s">
        <v>7688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 t="s">
        <v>105</v>
      </c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7</v>
      </c>
      <c r="AY236" s="334">
        <f>IFERROR(ESS_DATA[[#This Row],[ODP ETA Port]]+ESS_DATA[[#This Row],[Customs/Leg3 Assumption]],"n/a")</f>
        <v>7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1</v>
      </c>
      <c r="BC236" s="327" t="str">
        <f>_xlfn.XLOOKUP(ESS_DATA[[#This Row],[PORT DESTINATION]],Table12[PORT DESTINATION],Table12[Cosco Line],,0)</f>
        <v>AEU</v>
      </c>
      <c r="BD236" s="327"/>
      <c r="BE236" s="337"/>
      <c r="BF236" s="337"/>
      <c r="BG236" s="337"/>
      <c r="BH236" s="337"/>
      <c r="BI236" s="337"/>
    </row>
    <row r="237" spans="1:61" s="912" customFormat="1" ht="15.75" customHeight="1">
      <c r="A237" s="326" t="s">
        <v>7694</v>
      </c>
      <c r="B237" s="328" t="s">
        <v>7068</v>
      </c>
      <c r="C237" s="328" t="str">
        <f>IFERROR(LEFT(ESS_DATA[[#This Row],[TCL REFERENCE]],FIND(".",ESS_DATA[[#This Row],[TCL REFERENCE]],1)-1),"Main Line")</f>
        <v>26OCT004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1" t="s">
        <v>7094</v>
      </c>
      <c r="O237" s="911" t="s">
        <v>7291</v>
      </c>
      <c r="P237" s="911" t="s">
        <v>7096</v>
      </c>
      <c r="Q237" s="355"/>
      <c r="R237" s="332">
        <v>119</v>
      </c>
      <c r="S237" s="333"/>
      <c r="T237" s="328"/>
      <c r="U237" s="338">
        <f>ESS_DATA[[#This Row],[QUANTITY]]/130</f>
        <v>0.91538461538461535</v>
      </c>
      <c r="V237" s="369" t="s">
        <v>7108</v>
      </c>
      <c r="W237" s="328" t="s">
        <v>7688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 t="s">
        <v>105</v>
      </c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7</v>
      </c>
      <c r="AY237" s="334">
        <f>IFERROR(ESS_DATA[[#This Row],[ODP ETA Port]]+ESS_DATA[[#This Row],[Customs/Leg3 Assumption]],"n/a")</f>
        <v>7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1</v>
      </c>
      <c r="BC237" s="327" t="str">
        <f>_xlfn.XLOOKUP(ESS_DATA[[#This Row],[PORT DESTINATION]],Table12[PORT DESTINATION],Table12[Cosco Line],,0)</f>
        <v>AEU</v>
      </c>
      <c r="BD237" s="327"/>
      <c r="BE237" s="337"/>
      <c r="BF237" s="337"/>
      <c r="BG237" s="337"/>
      <c r="BH237" s="337"/>
      <c r="BI237" s="337"/>
    </row>
    <row r="238" spans="1:61" s="912" customFormat="1" ht="17.25" customHeight="1">
      <c r="A238" s="326" t="s">
        <v>7695</v>
      </c>
      <c r="B238" s="328" t="s">
        <v>7068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32"/>
      <c r="J238" s="328"/>
      <c r="K238" s="328"/>
      <c r="L238" s="329"/>
      <c r="M238" s="330"/>
      <c r="N238" s="911" t="s">
        <v>7094</v>
      </c>
      <c r="O238" s="911" t="s">
        <v>7291</v>
      </c>
      <c r="P238" s="911" t="s">
        <v>7096</v>
      </c>
      <c r="Q238" s="355"/>
      <c r="R238" s="332">
        <v>11</v>
      </c>
      <c r="S238" s="333"/>
      <c r="T238" s="328"/>
      <c r="U238" s="338">
        <f>ESS_DATA[[#This Row],[QUANTITY]]/130</f>
        <v>8.461538461538462E-2</v>
      </c>
      <c r="V238" s="369" t="s">
        <v>7108</v>
      </c>
      <c r="W238" s="328" t="s">
        <v>7688</v>
      </c>
      <c r="X238" s="327" t="str">
        <f t="shared" si="12"/>
        <v/>
      </c>
      <c r="Y238" s="334">
        <v>46303</v>
      </c>
      <c r="Z238" s="334"/>
      <c r="AA238" s="335">
        <f>WEEKNUM(ESS_DATA[[#This Row],[Pick-Up Date]])</f>
        <v>0</v>
      </c>
      <c r="AB238" s="328"/>
      <c r="AC238" s="328"/>
      <c r="AD238" s="328" t="s">
        <v>122</v>
      </c>
      <c r="AE238" s="328" t="s">
        <v>122</v>
      </c>
      <c r="AF238" s="328" t="s">
        <v>105</v>
      </c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7</v>
      </c>
      <c r="AY238" s="334">
        <f>IFERROR(ESS_DATA[[#This Row],[ODP ETA Port]]+ESS_DATA[[#This Row],[Customs/Leg3 Assumption]],"n/a")</f>
        <v>7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1</v>
      </c>
      <c r="BC238" s="327" t="str">
        <f>_xlfn.XLOOKUP(ESS_DATA[[#This Row],[PORT DESTINATION]],Table12[PORT DESTINATION],Table12[Cosco Line],,0)</f>
        <v>AEU</v>
      </c>
      <c r="BD238" s="327"/>
      <c r="BE238" s="337"/>
      <c r="BF238" s="337"/>
      <c r="BG238" s="337"/>
      <c r="BH238" s="337"/>
      <c r="BI238" s="337"/>
    </row>
    <row r="239" spans="1:61" s="912" customFormat="1" ht="17.25" customHeight="1">
      <c r="A239" s="326" t="s">
        <v>7696</v>
      </c>
      <c r="B239" s="328" t="s">
        <v>7068</v>
      </c>
      <c r="C239" s="328" t="str">
        <f>IFERROR(LEFT(ESS_DATA[[#This Row],[TCL REFERENCE]],FIND(".",ESS_DATA[[#This Row],[TCL REFERENCE]],1)-1),"Main Line")</f>
        <v>Main Line</v>
      </c>
      <c r="D239" s="328" t="s">
        <v>63</v>
      </c>
      <c r="E239" s="336" t="s">
        <v>64</v>
      </c>
      <c r="F239" s="327"/>
      <c r="G239" s="328"/>
      <c r="H239" s="328"/>
      <c r="I239" s="327"/>
      <c r="J239" s="328"/>
      <c r="K239" s="328"/>
      <c r="L239" s="329"/>
      <c r="M239" s="330"/>
      <c r="N239" s="913" t="s">
        <v>7070</v>
      </c>
      <c r="O239" s="911" t="s">
        <v>7240</v>
      </c>
      <c r="P239" s="913" t="s">
        <v>7072</v>
      </c>
      <c r="Q239" s="355"/>
      <c r="R239" s="403">
        <v>108</v>
      </c>
      <c r="S239" s="333"/>
      <c r="T239" s="328"/>
      <c r="U239" s="338">
        <f>ESS_DATA[[#This Row],[QUANTITY]]/130</f>
        <v>0.83076923076923082</v>
      </c>
      <c r="V239" s="369" t="s">
        <v>7108</v>
      </c>
      <c r="W239" s="328" t="s">
        <v>7688</v>
      </c>
      <c r="X239" s="328"/>
      <c r="Y239" s="334">
        <v>46303</v>
      </c>
      <c r="Z239" s="334"/>
      <c r="AA239" s="335"/>
      <c r="AB239" s="328"/>
      <c r="AC239" s="328"/>
      <c r="AD239" s="328" t="s">
        <v>122</v>
      </c>
      <c r="AE239" s="328" t="s">
        <v>122</v>
      </c>
      <c r="AF239" s="41" t="s">
        <v>78</v>
      </c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/>
      <c r="AT239" s="328"/>
      <c r="AU239" s="334"/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/>
      <c r="AY239" s="334"/>
      <c r="AZ239" s="327"/>
      <c r="BA239" s="327"/>
      <c r="BB239" s="327"/>
      <c r="BC239" s="327"/>
      <c r="BD239" s="327"/>
      <c r="BE239" s="337"/>
      <c r="BF239" s="337"/>
      <c r="BG239" s="337"/>
      <c r="BH239" s="337"/>
      <c r="BI239" s="337"/>
    </row>
    <row r="240" spans="1:61" s="912" customFormat="1" ht="17.25" customHeight="1">
      <c r="A240" s="326" t="s">
        <v>7697</v>
      </c>
      <c r="B240" s="328" t="s">
        <v>7068</v>
      </c>
      <c r="C240" s="328" t="str">
        <f>IFERROR(LEFT(ESS_DATA[[#This Row],[TCL REFERENCE]],FIND(".",ESS_DATA[[#This Row],[TCL REFERENCE]],1)-1),"Main Line")</f>
        <v>26OCT002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1" t="s">
        <v>7082</v>
      </c>
      <c r="O240" s="911" t="s">
        <v>7083</v>
      </c>
      <c r="P240" s="911" t="s">
        <v>7084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7114</v>
      </c>
      <c r="W240" s="328" t="s">
        <v>7698</v>
      </c>
      <c r="X240" s="327" t="str">
        <f t="shared" ref="X240:X241" si="14">IF(AL240&lt;&gt;"","COMPLETED",IF(AI240&lt;&gt;"","IN-TRANSIT",""))</f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 t="s">
        <v>78</v>
      </c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8</v>
      </c>
      <c r="AY240" s="334">
        <f>IFERROR(ESS_DATA[[#This Row],[ODP ETA Port]]+ESS_DATA[[#This Row],[Customs/Leg3 Assumption]],"n/a")</f>
        <v>8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1</v>
      </c>
      <c r="BC240" s="327" t="str">
        <f>_xlfn.XLOOKUP(ESS_DATA[[#This Row],[PORT DESTINATION]],Table12[PORT DESTINATION],Table12[Cosco Line],,0)</f>
        <v>AEM</v>
      </c>
      <c r="BD240" s="327"/>
      <c r="BE240" s="337"/>
      <c r="BF240" s="337"/>
      <c r="BG240" s="337"/>
      <c r="BH240" s="337"/>
      <c r="BI240" s="337"/>
    </row>
    <row r="241" spans="1:61" s="912" customFormat="1" ht="17.25" customHeight="1">
      <c r="A241" s="326" t="s">
        <v>7699</v>
      </c>
      <c r="B241" s="328" t="s">
        <v>7068</v>
      </c>
      <c r="C241" s="328" t="str">
        <f>IFERROR(LEFT(ESS_DATA[[#This Row],[TCL REFERENCE]],FIND(".",ESS_DATA[[#This Row],[TCL REFERENCE]],1)-1),"Main Line")</f>
        <v>26OCT004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1" t="s">
        <v>7094</v>
      </c>
      <c r="O241" s="911" t="s">
        <v>7291</v>
      </c>
      <c r="P241" s="911" t="s">
        <v>7096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7114</v>
      </c>
      <c r="W241" s="328" t="s">
        <v>7698</v>
      </c>
      <c r="X241" s="327" t="str">
        <f t="shared" si="14"/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 t="s">
        <v>78</v>
      </c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8</v>
      </c>
      <c r="AY241" s="334">
        <f>IFERROR(ESS_DATA[[#This Row],[ODP ETA Port]]+ESS_DATA[[#This Row],[Customs/Leg3 Assumption]],"n/a")</f>
        <v>8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1</v>
      </c>
      <c r="BC241" s="327" t="str">
        <f>_xlfn.XLOOKUP(ESS_DATA[[#This Row],[PORT DESTINATION]],Table12[PORT DESTINATION],Table12[Cosco Line],,0)</f>
        <v>AEM</v>
      </c>
      <c r="BD241" s="327"/>
      <c r="BE241" s="337"/>
      <c r="BF241" s="337"/>
      <c r="BG241" s="337"/>
      <c r="BH241" s="337"/>
      <c r="BI241" s="337"/>
    </row>
    <row r="242" spans="1:61" s="912" customFormat="1" ht="17.25" customHeight="1">
      <c r="A242" s="326" t="s">
        <v>7700</v>
      </c>
      <c r="B242" s="328" t="s">
        <v>7068</v>
      </c>
      <c r="C242" s="328" t="str">
        <f>IFERROR(LEFT(ESS_DATA[[#This Row],[TCL REFERENCE]],FIND(".",ESS_DATA[[#This Row],[TCL REFERENCE]],1)-1),"Main Line")</f>
        <v>26OCT002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1" t="s">
        <v>7082</v>
      </c>
      <c r="O242" s="911" t="s">
        <v>7083</v>
      </c>
      <c r="P242" s="911" t="s">
        <v>7084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7118</v>
      </c>
      <c r="W242" s="328" t="s">
        <v>7698</v>
      </c>
      <c r="X242" s="327" t="str">
        <f t="shared" ref="X242:X243" si="15">IF(AL242&lt;&gt;"","COMPLETED",IF(AI242&lt;&gt;"","IN-TRANSIT",""))</f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 t="s">
        <v>78</v>
      </c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8</v>
      </c>
      <c r="AY242" s="334">
        <f>IFERROR(ESS_DATA[[#This Row],[ODP ETA Port]]+ESS_DATA[[#This Row],[Customs/Leg3 Assumption]],"n/a")</f>
        <v>8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1</v>
      </c>
      <c r="BC242" s="327" t="str">
        <f>_xlfn.XLOOKUP(ESS_DATA[[#This Row],[PORT DESTINATION]],Table12[PORT DESTINATION],Table12[Cosco Line],,0)</f>
        <v>AEM</v>
      </c>
      <c r="BD242" s="327"/>
      <c r="BE242" s="337"/>
      <c r="BF242" s="337"/>
      <c r="BG242" s="337"/>
      <c r="BH242" s="337"/>
      <c r="BI242" s="337"/>
    </row>
    <row r="243" spans="1:61" s="912" customFormat="1" ht="17.25" customHeight="1">
      <c r="A243" s="326" t="s">
        <v>7701</v>
      </c>
      <c r="B243" s="328" t="s">
        <v>7068</v>
      </c>
      <c r="C243" s="328" t="str">
        <f>IFERROR(LEFT(ESS_DATA[[#This Row],[TCL REFERENCE]],FIND(".",ESS_DATA[[#This Row],[TCL REFERENCE]],1)-1),"Main Line")</f>
        <v>26OCT004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1" t="s">
        <v>7094</v>
      </c>
      <c r="O243" s="911" t="s">
        <v>7291</v>
      </c>
      <c r="P243" s="911" t="s">
        <v>7096</v>
      </c>
      <c r="Q243" s="355"/>
      <c r="R243" s="332">
        <v>130</v>
      </c>
      <c r="S243" s="333"/>
      <c r="T243" s="328"/>
      <c r="U243" s="338">
        <f>ESS_DATA[[#This Row],[QUANTITY]]/260</f>
        <v>0.5</v>
      </c>
      <c r="V243" s="369" t="s">
        <v>7118</v>
      </c>
      <c r="W243" s="328" t="s">
        <v>7698</v>
      </c>
      <c r="X243" s="327" t="str">
        <f t="shared" si="15"/>
        <v/>
      </c>
      <c r="Y243" s="417">
        <v>46307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 t="s">
        <v>78</v>
      </c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8</v>
      </c>
      <c r="AY243" s="334">
        <f>IFERROR(ESS_DATA[[#This Row],[ODP ETA Port]]+ESS_DATA[[#This Row],[Customs/Leg3 Assumption]],"n/a")</f>
        <v>8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1</v>
      </c>
      <c r="BC243" s="327" t="str">
        <f>_xlfn.XLOOKUP(ESS_DATA[[#This Row],[PORT DESTINATION]],Table12[PORT DESTINATION],Table12[Cosco Line],,0)</f>
        <v>AEM</v>
      </c>
      <c r="BD243" s="327"/>
      <c r="BE243" s="337"/>
      <c r="BF243" s="337"/>
      <c r="BG243" s="337"/>
      <c r="BH243" s="337"/>
      <c r="BI243" s="337"/>
    </row>
    <row r="244" spans="1:61" s="912" customFormat="1" ht="16.5" customHeight="1">
      <c r="A244" s="326" t="s">
        <v>7702</v>
      </c>
      <c r="B244" s="328" t="s">
        <v>7068</v>
      </c>
      <c r="C244" s="328" t="str">
        <f>IFERROR(LEFT(ESS_DATA[[#This Row],[TCL REFERENCE]],FIND(".",ESS_DATA[[#This Row],[TCL REFERENCE]],1)-1),"Main Line")</f>
        <v>26OCT005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1" t="s">
        <v>7105</v>
      </c>
      <c r="O244" s="911" t="s">
        <v>7106</v>
      </c>
      <c r="P244" s="911" t="s">
        <v>7107</v>
      </c>
      <c r="Q244" s="355"/>
      <c r="R244" s="332">
        <v>520</v>
      </c>
      <c r="S244" s="333"/>
      <c r="T244" s="328"/>
      <c r="U244" s="338">
        <f>ESS_DATA[[#This Row],[QUANTITY]]/276</f>
        <v>1.8840579710144927</v>
      </c>
      <c r="V244" s="369" t="s">
        <v>7304</v>
      </c>
      <c r="W244" s="328" t="s">
        <v>7698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 t="s">
        <v>78</v>
      </c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8</v>
      </c>
      <c r="AY244" s="334">
        <f>IFERROR(ESS_DATA[[#This Row],[ODP ETA Port]]+ESS_DATA[[#This Row],[Customs/Leg3 Assumption]],"n/a")</f>
        <v>8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1</v>
      </c>
      <c r="BC244" s="327" t="str">
        <f>_xlfn.XLOOKUP(ESS_DATA[[#This Row],[PORT DESTINATION]],Table12[PORT DESTINATION],Table12[Cosco Line],,0)</f>
        <v>AEM</v>
      </c>
      <c r="BD244" s="327"/>
      <c r="BE244" s="337"/>
      <c r="BF244" s="337"/>
      <c r="BG244" s="337"/>
      <c r="BH244" s="337"/>
      <c r="BI244" s="337"/>
    </row>
    <row r="245" spans="1:61" s="912" customFormat="1" ht="16.5" customHeight="1">
      <c r="A245" s="326" t="s">
        <v>7703</v>
      </c>
      <c r="B245" s="328" t="s">
        <v>7068</v>
      </c>
      <c r="C245" s="328" t="str">
        <f>IFERROR(LEFT(ESS_DATA[[#This Row],[TCL REFERENCE]],FIND(".",ESS_DATA[[#This Row],[TCL REFERENCE]],1)-1),"Main Line")</f>
        <v>Main Line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1" t="s">
        <v>7105</v>
      </c>
      <c r="O245" s="911" t="s">
        <v>7106</v>
      </c>
      <c r="P245" s="911" t="s">
        <v>7107</v>
      </c>
      <c r="Q245" s="355"/>
      <c r="R245" s="332">
        <v>32</v>
      </c>
      <c r="S245" s="333"/>
      <c r="T245" s="328"/>
      <c r="U245" s="338">
        <f>ESS_DATA[[#This Row],[QUANTITY]]/276</f>
        <v>0.11594202898550725</v>
      </c>
      <c r="V245" s="369" t="s">
        <v>7304</v>
      </c>
      <c r="W245" s="328" t="s">
        <v>7698</v>
      </c>
      <c r="X245" s="327" t="str">
        <f t="shared" si="12"/>
        <v/>
      </c>
      <c r="Y245" s="334">
        <v>46312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 t="s">
        <v>78</v>
      </c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8</v>
      </c>
      <c r="AY245" s="334">
        <f>IFERROR(ESS_DATA[[#This Row],[ODP ETA Port]]+ESS_DATA[[#This Row],[Customs/Leg3 Assumption]],"n/a")</f>
        <v>8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1</v>
      </c>
      <c r="BC245" s="327" t="str">
        <f>_xlfn.XLOOKUP(ESS_DATA[[#This Row],[PORT DESTINATION]],Table12[PORT DESTINATION],Table12[Cosco Line],,0)</f>
        <v>AEM</v>
      </c>
      <c r="BD245" s="327"/>
      <c r="BE245" s="337"/>
      <c r="BF245" s="337"/>
      <c r="BG245" s="337"/>
      <c r="BH245" s="337"/>
      <c r="BI245" s="337"/>
    </row>
    <row r="246" spans="1:61" s="912" customFormat="1" ht="16.5" customHeight="1">
      <c r="A246" s="326" t="s">
        <v>7704</v>
      </c>
      <c r="B246" s="328" t="s">
        <v>7068</v>
      </c>
      <c r="C246" s="328" t="str">
        <f>IFERROR(LEFT(ESS_DATA[[#This Row],[TCL REFERENCE]],FIND(".",ESS_DATA[[#This Row],[TCL REFERENCE]],1)-1),"Main Line")</f>
        <v>26OCT005</v>
      </c>
      <c r="D246" s="328" t="s">
        <v>63</v>
      </c>
      <c r="E246" s="336" t="s">
        <v>64</v>
      </c>
      <c r="F246" s="327"/>
      <c r="G246" s="328"/>
      <c r="H246" s="328"/>
      <c r="I246" s="332"/>
      <c r="J246" s="328"/>
      <c r="K246" s="328"/>
      <c r="L246" s="329"/>
      <c r="M246" s="330"/>
      <c r="N246" s="911" t="s">
        <v>7105</v>
      </c>
      <c r="O246" s="911" t="s">
        <v>7106</v>
      </c>
      <c r="P246" s="911" t="s">
        <v>7107</v>
      </c>
      <c r="Q246" s="355"/>
      <c r="R246" s="332">
        <v>552</v>
      </c>
      <c r="S246" s="333"/>
      <c r="T246" s="328"/>
      <c r="U246" s="338">
        <f>ESS_DATA[[#This Row],[QUANTITY]]/276</f>
        <v>2</v>
      </c>
      <c r="V246" s="369" t="s">
        <v>7705</v>
      </c>
      <c r="W246" s="328" t="s">
        <v>7706</v>
      </c>
      <c r="X246" s="327" t="str">
        <f t="shared" ref="X246" si="16">IF(AL246&lt;&gt;"","COMPLETED",IF(AI246&lt;&gt;"","IN-TRANSIT",""))</f>
        <v/>
      </c>
      <c r="Y246" s="334">
        <v>46317</v>
      </c>
      <c r="Z246" s="334"/>
      <c r="AA246" s="335">
        <f>WEEKNUM(ESS_DATA[[#This Row],[Pick-Up Date]])</f>
        <v>0</v>
      </c>
      <c r="AB246" s="328"/>
      <c r="AC246" s="328"/>
      <c r="AD246" s="328" t="s">
        <v>122</v>
      </c>
      <c r="AE246" s="328" t="s">
        <v>122</v>
      </c>
      <c r="AF246" s="328" t="s">
        <v>7707</v>
      </c>
      <c r="AG246" s="334"/>
      <c r="AH246" s="334"/>
      <c r="AI246" s="334"/>
      <c r="AJ246" s="334"/>
      <c r="AK246" s="334"/>
      <c r="AL246" s="334"/>
      <c r="AM246" s="336"/>
      <c r="AN246" s="334"/>
      <c r="AO246" s="334"/>
      <c r="AP246" s="334"/>
      <c r="AQ246" s="328"/>
      <c r="AR246" s="328"/>
      <c r="AS246" s="328">
        <f>ESS_DATA[[#This Row],[ETA On S/O]]-ESS_DATA[[#This Row],[ETD On S/O]]+1</f>
        <v>1</v>
      </c>
      <c r="AT246" s="328"/>
      <c r="AU246" s="334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8">
        <f>IF(ESS_DATA[[#This Row],[New Ark PO Type]]="Offshore",0,IFERROR(VLOOKUP(ESS_DATA[[#This Row],[PORT OF LOADING]]&amp;ESS_DATA[[#This Row],[PORT DESTINATION]],LT_REF[],7,0),14))</f>
        <v>14</v>
      </c>
      <c r="AY246" s="334">
        <f>IFERROR(ESS_DATA[[#This Row],[ODP ETA Port]]+ESS_DATA[[#This Row],[Customs/Leg3 Assumption]],"n/a")</f>
        <v>14</v>
      </c>
      <c r="AZ246" s="327">
        <f>YEAR(ESS_DATA[[#This Row],[ETA for New Ark update]])</f>
        <v>1900</v>
      </c>
      <c r="BA246" s="327">
        <f>MONTH(ESS_DATA[[#This Row],[ETA for New Ark update]])</f>
        <v>1</v>
      </c>
      <c r="BB246" s="327">
        <f>IFERROR(_xlfn.ISOWEEKNUM(ESS_DATA[[#This Row],[ETA for New Ark update]]),0)</f>
        <v>2</v>
      </c>
      <c r="BC246" s="327" t="e">
        <f>_xlfn.XLOOKUP(ESS_DATA[[#This Row],[PORT DESTINATION]],Table12[PORT DESTINATION],Table12[Cosco Line],,0)</f>
        <v>#N/A</v>
      </c>
      <c r="BD246" s="327"/>
      <c r="BE246" s="337"/>
      <c r="BF246" s="337"/>
      <c r="BG246" s="337"/>
      <c r="BH246" s="337"/>
      <c r="BI246" s="337"/>
    </row>
    <row r="247" spans="1:61" s="1297" customFormat="1" ht="16.5" customHeight="1">
      <c r="A247" s="1288" t="s">
        <v>7708</v>
      </c>
      <c r="B247" s="1289" t="s">
        <v>7068</v>
      </c>
      <c r="C247" s="1277" t="str">
        <f>IFERROR(LEFT(ESS_DATA[[#This Row],[TCL REFERENCE]],FIND(".",ESS_DATA[[#This Row],[TCL REFERENCE]],1)-1),"Main Line")</f>
        <v>26NOV002</v>
      </c>
      <c r="D247" s="1277" t="s">
        <v>63</v>
      </c>
      <c r="E247" s="162" t="s">
        <v>64</v>
      </c>
      <c r="F247" s="82"/>
      <c r="G247" s="1277"/>
      <c r="H247" s="31"/>
      <c r="I247" s="163"/>
      <c r="J247" s="1277"/>
      <c r="K247" s="1277"/>
      <c r="L247" s="1278"/>
      <c r="M247" s="1279"/>
      <c r="N247" s="1290" t="s">
        <v>7082</v>
      </c>
      <c r="O247" s="1290" t="s">
        <v>7083</v>
      </c>
      <c r="P247" s="1290" t="s">
        <v>7084</v>
      </c>
      <c r="Q247" s="1291"/>
      <c r="R247" s="1292">
        <v>22</v>
      </c>
      <c r="S247" s="1282"/>
      <c r="T247" s="1277"/>
      <c r="U247" s="325">
        <f>ESS_DATA[[#This Row],[QUANTITY]]/260</f>
        <v>8.461538461538462E-2</v>
      </c>
      <c r="V247" s="409" t="s">
        <v>7108</v>
      </c>
      <c r="W247" s="1289" t="s">
        <v>7698</v>
      </c>
      <c r="X247" s="317" t="str">
        <f t="shared" ref="X247:X248" si="17">IF(AL247&lt;&gt;"","COMPLETED",IF(AI247&lt;&gt;"","IN-TRANSIT",""))</f>
        <v/>
      </c>
      <c r="Y247" s="1293">
        <v>46311</v>
      </c>
      <c r="Z247" s="1293"/>
      <c r="AA247" s="1294">
        <f>WEEKNUM(ESS_DATA[[#This Row],[Pick-Up Date]])</f>
        <v>0</v>
      </c>
      <c r="AB247" s="1289"/>
      <c r="AC247" s="1277"/>
      <c r="AD247" s="1289" t="s">
        <v>122</v>
      </c>
      <c r="AE247" s="314" t="s">
        <v>122</v>
      </c>
      <c r="AF247" s="1289"/>
      <c r="AG247" s="1293"/>
      <c r="AH247" s="1293"/>
      <c r="AI247" s="1293"/>
      <c r="AJ247" s="1293"/>
      <c r="AK247" s="1293"/>
      <c r="AL247" s="1293"/>
      <c r="AM247" s="323"/>
      <c r="AN247" s="1293"/>
      <c r="AO247" s="1293"/>
      <c r="AP247" s="1293"/>
      <c r="AQ247" s="1289"/>
      <c r="AR247" s="1289"/>
      <c r="AS247" s="1289">
        <f>ESS_DATA[[#This Row],[ETA On S/O]]-ESS_DATA[[#This Row],[ETD On S/O]]+1</f>
        <v>1</v>
      </c>
      <c r="AT247" s="1289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295" t="str">
        <f>IF(ISERROR(ESS_DATA[[#This Row],[New Ark PO status]]),"",_xlfn.XLOOKUP(ESS_DATA[[#This Row],[SPTN-PVHK New Ark PO'#]],New_Ark_Data[Purchase order Number],New_Ark_Data[Estimated time of arrival],"",0))</f>
        <v/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1293">
        <f>IFERROR(ESS_DATA[[#This Row],[ODP ETA Port]]+ESS_DATA[[#This Row],[Customs/Leg3 Assumption]],"n/a")</f>
        <v>14</v>
      </c>
      <c r="AZ247" s="1296">
        <f>YEAR(ESS_DATA[[#This Row],[ETA for New Ark update]])</f>
        <v>1900</v>
      </c>
      <c r="BA247" s="1296">
        <f>MONTH(ESS_DATA[[#This Row],[ETA for New Ark update]])</f>
        <v>1</v>
      </c>
      <c r="BB247" s="1296">
        <f>IFERROR(_xlfn.ISOWEEKNUM(ESS_DATA[[#This Row],[ETA for New Ark update]]),0)</f>
        <v>2</v>
      </c>
      <c r="BC247" s="1296">
        <f>_xlfn.XLOOKUP(ESS_DATA[[#This Row],[PORT DESTINATION]],Table12[PORT DESTINATION],Table12[Cosco Line],,0)</f>
        <v>0</v>
      </c>
      <c r="BD247" s="1296"/>
      <c r="BE247" s="324"/>
      <c r="BF247" s="324"/>
      <c r="BG247" s="324"/>
      <c r="BH247" s="324"/>
      <c r="BI247" s="324"/>
    </row>
    <row r="248" spans="1:61" s="1297" customFormat="1" ht="16.5" customHeight="1">
      <c r="A248" s="1288" t="s">
        <v>7709</v>
      </c>
      <c r="B248" s="1289" t="s">
        <v>7068</v>
      </c>
      <c r="C248" s="1277" t="str">
        <f>IFERROR(LEFT(ESS_DATA[[#This Row],[TCL REFERENCE]],FIND(".",ESS_DATA[[#This Row],[TCL REFERENCE]],1)-1),"Main Line")</f>
        <v>Main Line</v>
      </c>
      <c r="D248" s="1277" t="s">
        <v>63</v>
      </c>
      <c r="E248" s="162" t="s">
        <v>64</v>
      </c>
      <c r="F248" s="82"/>
      <c r="G248" s="1277"/>
      <c r="H248" s="31"/>
      <c r="I248" s="163"/>
      <c r="J248" s="1277"/>
      <c r="K248" s="1277"/>
      <c r="L248" s="1278"/>
      <c r="M248" s="1279"/>
      <c r="N248" s="1290" t="s">
        <v>7082</v>
      </c>
      <c r="O248" s="1290" t="s">
        <v>7083</v>
      </c>
      <c r="P248" s="1290" t="s">
        <v>7084</v>
      </c>
      <c r="Q248" s="1291"/>
      <c r="R248" s="1292">
        <v>28</v>
      </c>
      <c r="S248" s="1282"/>
      <c r="T248" s="1277"/>
      <c r="U248" s="325">
        <f>ESS_DATA[[#This Row],[QUANTITY]]/260</f>
        <v>0.1076923076923077</v>
      </c>
      <c r="V248" s="409" t="s">
        <v>7108</v>
      </c>
      <c r="W248" s="1289" t="s">
        <v>7698</v>
      </c>
      <c r="X248" s="317" t="str">
        <f t="shared" si="17"/>
        <v/>
      </c>
      <c r="Y248" s="1293">
        <v>46311</v>
      </c>
      <c r="Z248" s="1293"/>
      <c r="AA248" s="1294">
        <f>WEEKNUM(ESS_DATA[[#This Row],[Pick-Up Date]])</f>
        <v>0</v>
      </c>
      <c r="AB248" s="1289"/>
      <c r="AC248" s="1277"/>
      <c r="AD248" s="1289" t="s">
        <v>122</v>
      </c>
      <c r="AE248" s="314" t="s">
        <v>122</v>
      </c>
      <c r="AF248" s="1289"/>
      <c r="AG248" s="1293"/>
      <c r="AH248" s="1293"/>
      <c r="AI248" s="1293"/>
      <c r="AJ248" s="1293"/>
      <c r="AK248" s="1293"/>
      <c r="AL248" s="1293"/>
      <c r="AM248" s="323"/>
      <c r="AN248" s="1293"/>
      <c r="AO248" s="1293"/>
      <c r="AP248" s="1293"/>
      <c r="AQ248" s="1289"/>
      <c r="AR248" s="1289"/>
      <c r="AS248" s="1289">
        <f>ESS_DATA[[#This Row],[ETA On S/O]]-ESS_DATA[[#This Row],[ETD On S/O]]+1</f>
        <v>1</v>
      </c>
      <c r="AT248" s="1289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295" t="str">
        <f>IF(ISERROR(ESS_DATA[[#This Row],[New Ark PO status]]),"",_xlfn.XLOOKUP(ESS_DATA[[#This Row],[SPTN-PVHK New Ark PO'#]],New_Ark_Data[Purchase order Number],New_Ark_Data[Estimated time of arrival],"",0))</f>
        <v/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1293">
        <f>IFERROR(ESS_DATA[[#This Row],[ODP ETA Port]]+ESS_DATA[[#This Row],[Customs/Leg3 Assumption]],"n/a")</f>
        <v>14</v>
      </c>
      <c r="AZ248" s="1296">
        <f>YEAR(ESS_DATA[[#This Row],[ETA for New Ark update]])</f>
        <v>1900</v>
      </c>
      <c r="BA248" s="1296">
        <f>MONTH(ESS_DATA[[#This Row],[ETA for New Ark update]])</f>
        <v>1</v>
      </c>
      <c r="BB248" s="1296">
        <f>IFERROR(_xlfn.ISOWEEKNUM(ESS_DATA[[#This Row],[ETA for New Ark update]]),0)</f>
        <v>2</v>
      </c>
      <c r="BC248" s="1296">
        <f>_xlfn.XLOOKUP(ESS_DATA[[#This Row],[PORT DESTINATION]],Table12[PORT DESTINATION],Table12[Cosco Line],,0)</f>
        <v>0</v>
      </c>
      <c r="BD248" s="1296"/>
      <c r="BE248" s="324"/>
      <c r="BF248" s="324"/>
      <c r="BG248" s="324"/>
      <c r="BH248" s="324"/>
      <c r="BI248" s="324"/>
    </row>
    <row r="249" spans="1:61" s="1297" customFormat="1" ht="16.5" customHeight="1">
      <c r="A249" s="1288" t="s">
        <v>7710</v>
      </c>
      <c r="B249" s="1289" t="s">
        <v>7068</v>
      </c>
      <c r="C249" s="1277" t="str">
        <f>IFERROR(LEFT(ESS_DATA[[#This Row],[TCL REFERENCE]],FIND(".",ESS_DATA[[#This Row],[TCL REFERENCE]],1)-1),"Main Line")</f>
        <v>Main Line</v>
      </c>
      <c r="D249" s="1277" t="s">
        <v>63</v>
      </c>
      <c r="E249" s="162" t="s">
        <v>64</v>
      </c>
      <c r="F249" s="82"/>
      <c r="G249" s="1277"/>
      <c r="H249" s="31"/>
      <c r="I249" s="163"/>
      <c r="J249" s="1277"/>
      <c r="K249" s="1277"/>
      <c r="L249" s="1278"/>
      <c r="M249" s="1279"/>
      <c r="N249" s="1290" t="s">
        <v>7091</v>
      </c>
      <c r="O249" s="1290" t="s">
        <v>7083</v>
      </c>
      <c r="P249" s="1290" t="s">
        <v>7092</v>
      </c>
      <c r="Q249" s="1291"/>
      <c r="R249" s="1292">
        <v>78</v>
      </c>
      <c r="S249" s="1282"/>
      <c r="T249" s="1277"/>
      <c r="U249" s="325">
        <f>ESS_DATA[[#This Row],[QUANTITY]]/260</f>
        <v>0.3</v>
      </c>
      <c r="V249" s="409" t="s">
        <v>7108</v>
      </c>
      <c r="W249" s="1289" t="s">
        <v>7698</v>
      </c>
      <c r="X249" s="317" t="str">
        <f t="shared" ref="X249:X251" si="18">IF(AL249&lt;&gt;"","COMPLETED",IF(AI249&lt;&gt;"","IN-TRANSIT",""))</f>
        <v/>
      </c>
      <c r="Y249" s="1293">
        <v>46311</v>
      </c>
      <c r="Z249" s="1293"/>
      <c r="AA249" s="1294">
        <f>WEEKNUM(ESS_DATA[[#This Row],[Pick-Up Date]])</f>
        <v>0</v>
      </c>
      <c r="AB249" s="1289"/>
      <c r="AC249" s="1277"/>
      <c r="AD249" s="1289" t="s">
        <v>122</v>
      </c>
      <c r="AE249" s="314" t="s">
        <v>122</v>
      </c>
      <c r="AF249" s="1289"/>
      <c r="AG249" s="1293"/>
      <c r="AH249" s="1293"/>
      <c r="AI249" s="1293"/>
      <c r="AJ249" s="1293"/>
      <c r="AK249" s="1293"/>
      <c r="AL249" s="1293"/>
      <c r="AM249" s="323"/>
      <c r="AN249" s="1293"/>
      <c r="AO249" s="1293"/>
      <c r="AP249" s="1293"/>
      <c r="AQ249" s="1289"/>
      <c r="AR249" s="1289"/>
      <c r="AS249" s="1289">
        <f>ESS_DATA[[#This Row],[ETA On S/O]]-ESS_DATA[[#This Row],[ETD On S/O]]+1</f>
        <v>1</v>
      </c>
      <c r="AT249" s="1289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295" t="str">
        <f>IF(ISERROR(ESS_DATA[[#This Row],[New Ark PO status]]),"",_xlfn.XLOOKUP(ESS_DATA[[#This Row],[SPTN-PVHK New Ark PO'#]],New_Ark_Data[Purchase order Number],New_Ark_Data[Estimated time of arrival],"",0))</f>
        <v/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1293">
        <f>IFERROR(ESS_DATA[[#This Row],[ODP ETA Port]]+ESS_DATA[[#This Row],[Customs/Leg3 Assumption]],"n/a")</f>
        <v>14</v>
      </c>
      <c r="AZ249" s="1296">
        <f>YEAR(ESS_DATA[[#This Row],[ETA for New Ark update]])</f>
        <v>1900</v>
      </c>
      <c r="BA249" s="1296">
        <f>MONTH(ESS_DATA[[#This Row],[ETA for New Ark update]])</f>
        <v>1</v>
      </c>
      <c r="BB249" s="1296">
        <f>IFERROR(_xlfn.ISOWEEKNUM(ESS_DATA[[#This Row],[ETA for New Ark update]]),0)</f>
        <v>2</v>
      </c>
      <c r="BC249" s="1296">
        <f>_xlfn.XLOOKUP(ESS_DATA[[#This Row],[PORT DESTINATION]],Table12[PORT DESTINATION],Table12[Cosco Line],,0)</f>
        <v>0</v>
      </c>
      <c r="BD249" s="1296"/>
      <c r="BE249" s="324"/>
      <c r="BF249" s="324"/>
      <c r="BG249" s="324"/>
      <c r="BH249" s="324"/>
      <c r="BI249" s="324"/>
    </row>
    <row r="250" spans="1:61" s="1297" customFormat="1" ht="16.5" customHeight="1">
      <c r="A250" s="1288" t="s">
        <v>7711</v>
      </c>
      <c r="B250" s="1289" t="s">
        <v>7068</v>
      </c>
      <c r="C250" s="1277" t="str">
        <f>IFERROR(LEFT(ESS_DATA[[#This Row],[TCL REFERENCE]],FIND(".",ESS_DATA[[#This Row],[TCL REFERENCE]],1)-1),"Main Line")</f>
        <v>Main Line</v>
      </c>
      <c r="D250" s="1277" t="s">
        <v>63</v>
      </c>
      <c r="E250" s="162" t="s">
        <v>64</v>
      </c>
      <c r="F250" s="82"/>
      <c r="G250" s="1277"/>
      <c r="H250" s="31"/>
      <c r="I250" s="163"/>
      <c r="J250" s="1277"/>
      <c r="K250" s="1277"/>
      <c r="L250" s="1278"/>
      <c r="M250" s="1279"/>
      <c r="N250" s="1290" t="s">
        <v>7091</v>
      </c>
      <c r="O250" s="1290" t="s">
        <v>7083</v>
      </c>
      <c r="P250" s="1290" t="s">
        <v>7092</v>
      </c>
      <c r="Q250" s="1291"/>
      <c r="R250" s="1292">
        <v>2</v>
      </c>
      <c r="S250" s="1282"/>
      <c r="T250" s="1277"/>
      <c r="U250" s="325">
        <f>ESS_DATA[[#This Row],[QUANTITY]]/260</f>
        <v>7.6923076923076927E-3</v>
      </c>
      <c r="V250" s="409" t="s">
        <v>7108</v>
      </c>
      <c r="W250" s="1289" t="s">
        <v>7698</v>
      </c>
      <c r="X250" s="317" t="str">
        <f t="shared" si="18"/>
        <v/>
      </c>
      <c r="Y250" s="1293">
        <v>46311</v>
      </c>
      <c r="Z250" s="1293"/>
      <c r="AA250" s="1294">
        <f>WEEKNUM(ESS_DATA[[#This Row],[Pick-Up Date]])</f>
        <v>0</v>
      </c>
      <c r="AB250" s="1289"/>
      <c r="AC250" s="1277"/>
      <c r="AD250" s="1289" t="s">
        <v>122</v>
      </c>
      <c r="AE250" s="314" t="s">
        <v>122</v>
      </c>
      <c r="AF250" s="1289"/>
      <c r="AG250" s="1293"/>
      <c r="AH250" s="1293"/>
      <c r="AI250" s="1293"/>
      <c r="AJ250" s="1293"/>
      <c r="AK250" s="1293"/>
      <c r="AL250" s="1293"/>
      <c r="AM250" s="323"/>
      <c r="AN250" s="1293"/>
      <c r="AO250" s="1293"/>
      <c r="AP250" s="1293"/>
      <c r="AQ250" s="1289"/>
      <c r="AR250" s="1289"/>
      <c r="AS250" s="1289">
        <f>ESS_DATA[[#This Row],[ETA On S/O]]-ESS_DATA[[#This Row],[ETD On S/O]]+1</f>
        <v>1</v>
      </c>
      <c r="AT250" s="1289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295" t="str">
        <f>IF(ISERROR(ESS_DATA[[#This Row],[New Ark PO status]]),"",_xlfn.XLOOKUP(ESS_DATA[[#This Row],[SPTN-PVHK New Ark PO'#]],New_Ark_Data[Purchase order Number],New_Ark_Data[Estimated time of arrival],"",0))</f>
        <v/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1293">
        <f>IFERROR(ESS_DATA[[#This Row],[ODP ETA Port]]+ESS_DATA[[#This Row],[Customs/Leg3 Assumption]],"n/a")</f>
        <v>14</v>
      </c>
      <c r="AZ250" s="1296">
        <f>YEAR(ESS_DATA[[#This Row],[ETA for New Ark update]])</f>
        <v>1900</v>
      </c>
      <c r="BA250" s="1296">
        <f>MONTH(ESS_DATA[[#This Row],[ETA for New Ark update]])</f>
        <v>1</v>
      </c>
      <c r="BB250" s="1296">
        <f>IFERROR(_xlfn.ISOWEEKNUM(ESS_DATA[[#This Row],[ETA for New Ark update]]),0)</f>
        <v>2</v>
      </c>
      <c r="BC250" s="1296">
        <f>_xlfn.XLOOKUP(ESS_DATA[[#This Row],[PORT DESTINATION]],Table12[PORT DESTINATION],Table12[Cosco Line],,0)</f>
        <v>0</v>
      </c>
      <c r="BD250" s="1296"/>
      <c r="BE250" s="324"/>
      <c r="BF250" s="324"/>
      <c r="BG250" s="324"/>
      <c r="BH250" s="324"/>
      <c r="BI250" s="324"/>
    </row>
    <row r="251" spans="1:61" s="1297" customFormat="1" ht="16.5" customHeight="1">
      <c r="A251" s="1288" t="s">
        <v>7712</v>
      </c>
      <c r="B251" s="1289" t="s">
        <v>7068</v>
      </c>
      <c r="C251" s="1277" t="str">
        <f>IFERROR(LEFT(ESS_DATA[[#This Row],[TCL REFERENCE]],FIND(".",ESS_DATA[[#This Row],[TCL REFERENCE]],1)-1),"Main Line")</f>
        <v>26NOV004</v>
      </c>
      <c r="D251" s="1277" t="s">
        <v>63</v>
      </c>
      <c r="E251" s="162" t="s">
        <v>64</v>
      </c>
      <c r="F251" s="82"/>
      <c r="G251" s="1277"/>
      <c r="H251" s="31"/>
      <c r="I251" s="163"/>
      <c r="J251" s="1277"/>
      <c r="K251" s="1277"/>
      <c r="L251" s="1278"/>
      <c r="M251" s="1279"/>
      <c r="N251" s="1290" t="s">
        <v>7094</v>
      </c>
      <c r="O251" s="1290" t="s">
        <v>7291</v>
      </c>
      <c r="P251" s="1290" t="s">
        <v>7096</v>
      </c>
      <c r="Q251" s="1291"/>
      <c r="R251" s="1292">
        <v>96</v>
      </c>
      <c r="S251" s="1282"/>
      <c r="T251" s="1277"/>
      <c r="U251" s="325">
        <f>ESS_DATA[[#This Row],[QUANTITY]]/260</f>
        <v>0.36923076923076925</v>
      </c>
      <c r="V251" s="409" t="s">
        <v>7108</v>
      </c>
      <c r="W251" s="1289" t="s">
        <v>7698</v>
      </c>
      <c r="X251" s="317" t="str">
        <f t="shared" si="18"/>
        <v/>
      </c>
      <c r="Y251" s="1293">
        <v>46311</v>
      </c>
      <c r="Z251" s="1293"/>
      <c r="AA251" s="1294">
        <f>WEEKNUM(ESS_DATA[[#This Row],[Pick-Up Date]])</f>
        <v>0</v>
      </c>
      <c r="AB251" s="1289"/>
      <c r="AC251" s="1277"/>
      <c r="AD251" s="1289" t="s">
        <v>122</v>
      </c>
      <c r="AE251" s="314" t="s">
        <v>122</v>
      </c>
      <c r="AF251" s="1289"/>
      <c r="AG251" s="1293"/>
      <c r="AH251" s="1293"/>
      <c r="AI251" s="1293"/>
      <c r="AJ251" s="1293"/>
      <c r="AK251" s="1293"/>
      <c r="AL251" s="1293"/>
      <c r="AM251" s="323"/>
      <c r="AN251" s="1293"/>
      <c r="AO251" s="1293"/>
      <c r="AP251" s="1293"/>
      <c r="AQ251" s="1289"/>
      <c r="AR251" s="1289"/>
      <c r="AS251" s="1289">
        <f>ESS_DATA[[#This Row],[ETA On S/O]]-ESS_DATA[[#This Row],[ETD On S/O]]+1</f>
        <v>1</v>
      </c>
      <c r="AT251" s="1289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295" t="str">
        <f>IF(ISERROR(ESS_DATA[[#This Row],[New Ark PO status]]),"",_xlfn.XLOOKUP(ESS_DATA[[#This Row],[SPTN-PVHK New Ark PO'#]],New_Ark_Data[Purchase order Number],New_Ark_Data[Estimated time of arrival],"",0))</f>
        <v/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1293">
        <f>IFERROR(ESS_DATA[[#This Row],[ODP ETA Port]]+ESS_DATA[[#This Row],[Customs/Leg3 Assumption]],"n/a")</f>
        <v>14</v>
      </c>
      <c r="AZ251" s="1296">
        <f>YEAR(ESS_DATA[[#This Row],[ETA for New Ark update]])</f>
        <v>1900</v>
      </c>
      <c r="BA251" s="1296">
        <f>MONTH(ESS_DATA[[#This Row],[ETA for New Ark update]])</f>
        <v>1</v>
      </c>
      <c r="BB251" s="1296">
        <f>IFERROR(_xlfn.ISOWEEKNUM(ESS_DATA[[#This Row],[ETA for New Ark update]]),0)</f>
        <v>2</v>
      </c>
      <c r="BC251" s="1296">
        <f>_xlfn.XLOOKUP(ESS_DATA[[#This Row],[PORT DESTINATION]],Table12[PORT DESTINATION],Table12[Cosco Line],,0)</f>
        <v>0</v>
      </c>
      <c r="BD251" s="1296"/>
      <c r="BE251" s="324"/>
      <c r="BF251" s="324"/>
      <c r="BG251" s="324"/>
      <c r="BH251" s="324"/>
      <c r="BI251" s="324"/>
    </row>
    <row r="252" spans="1:61" s="1297" customFormat="1" ht="16.5" customHeight="1">
      <c r="A252" s="1288" t="s">
        <v>7713</v>
      </c>
      <c r="B252" s="1289" t="s">
        <v>7068</v>
      </c>
      <c r="C252" s="1277" t="str">
        <f>IFERROR(LEFT(ESS_DATA[[#This Row],[TCL REFERENCE]],FIND(".",ESS_DATA[[#This Row],[TCL REFERENCE]],1)-1),"Main Line")</f>
        <v>Main Line</v>
      </c>
      <c r="D252" s="1277" t="s">
        <v>63</v>
      </c>
      <c r="E252" s="162" t="s">
        <v>64</v>
      </c>
      <c r="F252" s="82"/>
      <c r="G252" s="1277"/>
      <c r="H252" s="31"/>
      <c r="I252" s="163"/>
      <c r="J252" s="1277"/>
      <c r="K252" s="1277"/>
      <c r="L252" s="1278"/>
      <c r="M252" s="1279"/>
      <c r="N252" s="1290" t="s">
        <v>7094</v>
      </c>
      <c r="O252" s="1290" t="s">
        <v>7291</v>
      </c>
      <c r="P252" s="1290" t="s">
        <v>7096</v>
      </c>
      <c r="Q252" s="1291"/>
      <c r="R252" s="1292">
        <v>34</v>
      </c>
      <c r="S252" s="1282"/>
      <c r="T252" s="1277"/>
      <c r="U252" s="325">
        <f>ESS_DATA[[#This Row],[QUANTITY]]/260</f>
        <v>0.13076923076923078</v>
      </c>
      <c r="V252" s="409" t="s">
        <v>7108</v>
      </c>
      <c r="W252" s="1289" t="s">
        <v>7698</v>
      </c>
      <c r="X252" s="317" t="str">
        <f t="shared" ref="X252" si="19">IF(AL252&lt;&gt;"","COMPLETED",IF(AI252&lt;&gt;"","IN-TRANSIT",""))</f>
        <v/>
      </c>
      <c r="Y252" s="1293">
        <v>46311</v>
      </c>
      <c r="Z252" s="1293"/>
      <c r="AA252" s="1294">
        <f>WEEKNUM(ESS_DATA[[#This Row],[Pick-Up Date]])</f>
        <v>0</v>
      </c>
      <c r="AB252" s="1289"/>
      <c r="AC252" s="1277"/>
      <c r="AD252" s="1289" t="s">
        <v>122</v>
      </c>
      <c r="AE252" s="314" t="s">
        <v>122</v>
      </c>
      <c r="AF252" s="1289"/>
      <c r="AG252" s="1293"/>
      <c r="AH252" s="1293"/>
      <c r="AI252" s="1293"/>
      <c r="AJ252" s="1293"/>
      <c r="AK252" s="1293"/>
      <c r="AL252" s="1293"/>
      <c r="AM252" s="323"/>
      <c r="AN252" s="1293"/>
      <c r="AO252" s="1293"/>
      <c r="AP252" s="1293"/>
      <c r="AQ252" s="1289"/>
      <c r="AR252" s="1289"/>
      <c r="AS252" s="1289">
        <f>ESS_DATA[[#This Row],[ETA On S/O]]-ESS_DATA[[#This Row],[ETD On S/O]]+1</f>
        <v>1</v>
      </c>
      <c r="AT252" s="1289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295" t="str">
        <f>IF(ISERROR(ESS_DATA[[#This Row],[New Ark PO status]]),"",_xlfn.XLOOKUP(ESS_DATA[[#This Row],[SPTN-PVHK New Ark PO'#]],New_Ark_Data[Purchase order Number],New_Ark_Data[Estimated time of arrival],"",0))</f>
        <v/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1293">
        <f>IFERROR(ESS_DATA[[#This Row],[ODP ETA Port]]+ESS_DATA[[#This Row],[Customs/Leg3 Assumption]],"n/a")</f>
        <v>14</v>
      </c>
      <c r="AZ252" s="1296">
        <f>YEAR(ESS_DATA[[#This Row],[ETA for New Ark update]])</f>
        <v>1900</v>
      </c>
      <c r="BA252" s="1296">
        <f>MONTH(ESS_DATA[[#This Row],[ETA for New Ark update]])</f>
        <v>1</v>
      </c>
      <c r="BB252" s="1296">
        <f>IFERROR(_xlfn.ISOWEEKNUM(ESS_DATA[[#This Row],[ETA for New Ark update]]),0)</f>
        <v>2</v>
      </c>
      <c r="BC252" s="1296">
        <f>_xlfn.XLOOKUP(ESS_DATA[[#This Row],[PORT DESTINATION]],Table12[PORT DESTINATION],Table12[Cosco Line],,0)</f>
        <v>0</v>
      </c>
      <c r="BD252" s="1296"/>
      <c r="BE252" s="324"/>
      <c r="BF252" s="324"/>
      <c r="BG252" s="324"/>
      <c r="BH252" s="324"/>
      <c r="BI252" s="324"/>
    </row>
    <row r="253" spans="1:61" s="1297" customFormat="1" ht="16.5" customHeight="1">
      <c r="A253" s="1288" t="s">
        <v>7714</v>
      </c>
      <c r="B253" s="1289" t="s">
        <v>7068</v>
      </c>
      <c r="C253" s="1277" t="str">
        <f>IFERROR(LEFT(ESS_DATA[[#This Row],[TCL REFERENCE]],FIND(".",ESS_DATA[[#This Row],[TCL REFERENCE]],1)-1),"Main Line")</f>
        <v>Main Line</v>
      </c>
      <c r="D253" s="1277" t="s">
        <v>63</v>
      </c>
      <c r="E253" s="162" t="s">
        <v>64</v>
      </c>
      <c r="F253" s="82"/>
      <c r="G253" s="1277"/>
      <c r="H253" s="31"/>
      <c r="I253" s="163"/>
      <c r="J253" s="1277"/>
      <c r="K253" s="1277"/>
      <c r="L253" s="1278"/>
      <c r="M253" s="1279"/>
      <c r="N253" s="1290" t="s">
        <v>7116</v>
      </c>
      <c r="O253" s="1290" t="s">
        <v>7083</v>
      </c>
      <c r="P253" s="1290" t="s">
        <v>7117</v>
      </c>
      <c r="Q253" s="1291"/>
      <c r="R253" s="1292">
        <v>126</v>
      </c>
      <c r="S253" s="1282"/>
      <c r="T253" s="1277"/>
      <c r="U253" s="325">
        <f>ESS_DATA[[#This Row],[QUANTITY]]/260</f>
        <v>0.48461538461538461</v>
      </c>
      <c r="V253" s="409" t="s">
        <v>7114</v>
      </c>
      <c r="W253" s="1289" t="s">
        <v>7698</v>
      </c>
      <c r="X253" s="317" t="str">
        <f>IF(AL253&lt;&gt;"","COMPLETED",IF(AI253&lt;&gt;"","IN-TRANSIT",""))</f>
        <v/>
      </c>
      <c r="Y253" s="1293">
        <v>46311</v>
      </c>
      <c r="Z253" s="1293"/>
      <c r="AA253" s="1294">
        <f>WEEKNUM(ESS_DATA[[#This Row],[Pick-Up Date]])</f>
        <v>0</v>
      </c>
      <c r="AB253" s="1289"/>
      <c r="AC253" s="1277"/>
      <c r="AD253" s="1289" t="s">
        <v>122</v>
      </c>
      <c r="AE253" s="314" t="s">
        <v>122</v>
      </c>
      <c r="AF253" s="1289"/>
      <c r="AG253" s="1293"/>
      <c r="AH253" s="1293"/>
      <c r="AI253" s="1293"/>
      <c r="AJ253" s="1293"/>
      <c r="AK253" s="1293"/>
      <c r="AL253" s="1293"/>
      <c r="AM253" s="323"/>
      <c r="AN253" s="1293"/>
      <c r="AO253" s="1293"/>
      <c r="AP253" s="1293"/>
      <c r="AQ253" s="1289"/>
      <c r="AR253" s="1289"/>
      <c r="AS253" s="1289">
        <f>ESS_DATA[[#This Row],[ETA On S/O]]-ESS_DATA[[#This Row],[ETD On S/O]]+1</f>
        <v>1</v>
      </c>
      <c r="AT253" s="1289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295" t="str">
        <f>IF(ISERROR(ESS_DATA[[#This Row],[New Ark PO status]]),"",_xlfn.XLOOKUP(ESS_DATA[[#This Row],[SPTN-PVHK New Ark PO'#]],New_Ark_Data[Purchase order Number],New_Ark_Data[Estimated time of arrival],"",0))</f>
        <v/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1293">
        <f>IFERROR(ESS_DATA[[#This Row],[ODP ETA Port]]+ESS_DATA[[#This Row],[Customs/Leg3 Assumption]],"n/a")</f>
        <v>14</v>
      </c>
      <c r="AZ253" s="1296">
        <f>YEAR(ESS_DATA[[#This Row],[ETA for New Ark update]])</f>
        <v>1900</v>
      </c>
      <c r="BA253" s="1296">
        <f>MONTH(ESS_DATA[[#This Row],[ETA for New Ark update]])</f>
        <v>1</v>
      </c>
      <c r="BB253" s="1296">
        <f>IFERROR(_xlfn.ISOWEEKNUM(ESS_DATA[[#This Row],[ETA for New Ark update]]),0)</f>
        <v>2</v>
      </c>
      <c r="BC253" s="1296">
        <f>_xlfn.XLOOKUP(ESS_DATA[[#This Row],[PORT DESTINATION]],Table12[PORT DESTINATION],Table12[Cosco Line],,0)</f>
        <v>0</v>
      </c>
      <c r="BD253" s="1296"/>
      <c r="BE253" s="324"/>
      <c r="BF253" s="324"/>
      <c r="BG253" s="324"/>
      <c r="BH253" s="324"/>
      <c r="BI253" s="324"/>
    </row>
    <row r="254" spans="1:61" s="1297" customFormat="1" ht="16.5" customHeight="1">
      <c r="A254" s="1288" t="s">
        <v>7715</v>
      </c>
      <c r="B254" s="1289" t="s">
        <v>7068</v>
      </c>
      <c r="C254" s="1277" t="str">
        <f>IFERROR(LEFT(ESS_DATA[[#This Row],[TCL REFERENCE]],FIND(".",ESS_DATA[[#This Row],[TCL REFERENCE]],1)-1),"Main Line")</f>
        <v>Main Line</v>
      </c>
      <c r="D254" s="1277" t="s">
        <v>63</v>
      </c>
      <c r="E254" s="162" t="s">
        <v>64</v>
      </c>
      <c r="F254" s="82"/>
      <c r="G254" s="1277"/>
      <c r="H254" s="31"/>
      <c r="I254" s="163"/>
      <c r="J254" s="1277"/>
      <c r="K254" s="1277"/>
      <c r="L254" s="1278"/>
      <c r="M254" s="1279"/>
      <c r="N254" s="1290" t="s">
        <v>7116</v>
      </c>
      <c r="O254" s="1290" t="s">
        <v>7083</v>
      </c>
      <c r="P254" s="1290" t="s">
        <v>7117</v>
      </c>
      <c r="Q254" s="1291"/>
      <c r="R254" s="1292">
        <v>4</v>
      </c>
      <c r="S254" s="1282"/>
      <c r="T254" s="1277"/>
      <c r="U254" s="325">
        <f>ESS_DATA[[#This Row],[QUANTITY]]/260</f>
        <v>1.5384615384615385E-2</v>
      </c>
      <c r="V254" s="409" t="s">
        <v>7114</v>
      </c>
      <c r="W254" s="1289" t="s">
        <v>7698</v>
      </c>
      <c r="X254" s="317" t="str">
        <f t="shared" ref="X254" si="20">IF(AL254&lt;&gt;"","COMPLETED",IF(AI254&lt;&gt;"","IN-TRANSIT",""))</f>
        <v/>
      </c>
      <c r="Y254" s="1293">
        <v>46311</v>
      </c>
      <c r="Z254" s="1293"/>
      <c r="AA254" s="1294">
        <f>WEEKNUM(ESS_DATA[[#This Row],[Pick-Up Date]])</f>
        <v>0</v>
      </c>
      <c r="AB254" s="1289"/>
      <c r="AC254" s="1277"/>
      <c r="AD254" s="1289" t="s">
        <v>122</v>
      </c>
      <c r="AE254" s="314" t="s">
        <v>122</v>
      </c>
      <c r="AF254" s="1289"/>
      <c r="AG254" s="1293"/>
      <c r="AH254" s="1293"/>
      <c r="AI254" s="1293"/>
      <c r="AJ254" s="1293"/>
      <c r="AK254" s="1293"/>
      <c r="AL254" s="1293"/>
      <c r="AM254" s="323"/>
      <c r="AN254" s="1293"/>
      <c r="AO254" s="1293"/>
      <c r="AP254" s="1293"/>
      <c r="AQ254" s="1289"/>
      <c r="AR254" s="1289"/>
      <c r="AS254" s="1289">
        <f>ESS_DATA[[#This Row],[ETA On S/O]]-ESS_DATA[[#This Row],[ETD On S/O]]+1</f>
        <v>1</v>
      </c>
      <c r="AT254" s="1289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295" t="str">
        <f>IF(ISERROR(ESS_DATA[[#This Row],[New Ark PO status]]),"",_xlfn.XLOOKUP(ESS_DATA[[#This Row],[SPTN-PVHK New Ark PO'#]],New_Ark_Data[Purchase order Number],New_Ark_Data[Estimated time of arrival],"",0))</f>
        <v/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1293">
        <f>IFERROR(ESS_DATA[[#This Row],[ODP ETA Port]]+ESS_DATA[[#This Row],[Customs/Leg3 Assumption]],"n/a")</f>
        <v>14</v>
      </c>
      <c r="AZ254" s="1296">
        <f>YEAR(ESS_DATA[[#This Row],[ETA for New Ark update]])</f>
        <v>1900</v>
      </c>
      <c r="BA254" s="1296">
        <f>MONTH(ESS_DATA[[#This Row],[ETA for New Ark update]])</f>
        <v>1</v>
      </c>
      <c r="BB254" s="1296">
        <f>IFERROR(_xlfn.ISOWEEKNUM(ESS_DATA[[#This Row],[ETA for New Ark update]]),0)</f>
        <v>2</v>
      </c>
      <c r="BC254" s="1296">
        <f>_xlfn.XLOOKUP(ESS_DATA[[#This Row],[PORT DESTINATION]],Table12[PORT DESTINATION],Table12[Cosco Line],,0)</f>
        <v>0</v>
      </c>
      <c r="BD254" s="1296"/>
      <c r="BE254" s="324"/>
      <c r="BF254" s="324"/>
      <c r="BG254" s="324"/>
      <c r="BH254" s="324"/>
      <c r="BI254" s="324"/>
    </row>
    <row r="255" spans="1:61" s="1297" customFormat="1" ht="16.5" customHeight="1">
      <c r="A255" s="1288" t="s">
        <v>7716</v>
      </c>
      <c r="B255" s="1289" t="s">
        <v>7068</v>
      </c>
      <c r="C255" s="1277" t="str">
        <f>IFERROR(LEFT(ESS_DATA[[#This Row],[TCL REFERENCE]],FIND(".",ESS_DATA[[#This Row],[TCL REFERENCE]],1)-1),"Main Line")</f>
        <v>26NOV004</v>
      </c>
      <c r="D255" s="1277" t="s">
        <v>63</v>
      </c>
      <c r="E255" s="162" t="s">
        <v>64</v>
      </c>
      <c r="F255" s="82"/>
      <c r="G255" s="1277"/>
      <c r="H255" s="31"/>
      <c r="I255" s="163"/>
      <c r="J255" s="1277"/>
      <c r="K255" s="1277"/>
      <c r="L255" s="1278"/>
      <c r="M255" s="1279"/>
      <c r="N255" s="1290" t="s">
        <v>7094</v>
      </c>
      <c r="O255" s="1290" t="s">
        <v>7291</v>
      </c>
      <c r="P255" s="1290" t="s">
        <v>7096</v>
      </c>
      <c r="Q255" s="1291"/>
      <c r="R255" s="1292">
        <v>130</v>
      </c>
      <c r="S255" s="1282"/>
      <c r="T255" s="1277"/>
      <c r="U255" s="325">
        <f>ESS_DATA[[#This Row],[QUANTITY]]/260</f>
        <v>0.5</v>
      </c>
      <c r="V255" s="409" t="s">
        <v>7114</v>
      </c>
      <c r="W255" s="1289" t="s">
        <v>7698</v>
      </c>
      <c r="X255" s="317" t="str">
        <f t="shared" ref="X255:X262" si="21">IF(AL255&lt;&gt;"","COMPLETED",IF(AI255&lt;&gt;"","IN-TRANSIT",""))</f>
        <v/>
      </c>
      <c r="Y255" s="1293">
        <v>46311</v>
      </c>
      <c r="Z255" s="1293"/>
      <c r="AA255" s="1294">
        <f>WEEKNUM(ESS_DATA[[#This Row],[Pick-Up Date]])</f>
        <v>0</v>
      </c>
      <c r="AB255" s="1289"/>
      <c r="AC255" s="1277"/>
      <c r="AD255" s="1289" t="s">
        <v>122</v>
      </c>
      <c r="AE255" s="314" t="s">
        <v>122</v>
      </c>
      <c r="AF255" s="1289"/>
      <c r="AG255" s="1293"/>
      <c r="AH255" s="1293"/>
      <c r="AI255" s="1293"/>
      <c r="AJ255" s="1293"/>
      <c r="AK255" s="1293"/>
      <c r="AL255" s="1293"/>
      <c r="AM255" s="323"/>
      <c r="AN255" s="1293"/>
      <c r="AO255" s="1293"/>
      <c r="AP255" s="1293"/>
      <c r="AQ255" s="1289"/>
      <c r="AR255" s="1289"/>
      <c r="AS255" s="1289">
        <f>ESS_DATA[[#This Row],[ETA On S/O]]-ESS_DATA[[#This Row],[ETD On S/O]]+1</f>
        <v>1</v>
      </c>
      <c r="AT255" s="1289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295" t="str">
        <f>IF(ISERROR(ESS_DATA[[#This Row],[New Ark PO status]]),"",_xlfn.XLOOKUP(ESS_DATA[[#This Row],[SPTN-PVHK New Ark PO'#]],New_Ark_Data[Purchase order Number],New_Ark_Data[Estimated time of arrival],"",0))</f>
        <v/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1293">
        <f>IFERROR(ESS_DATA[[#This Row],[ODP ETA Port]]+ESS_DATA[[#This Row],[Customs/Leg3 Assumption]],"n/a")</f>
        <v>14</v>
      </c>
      <c r="AZ255" s="1296">
        <f>YEAR(ESS_DATA[[#This Row],[ETA for New Ark update]])</f>
        <v>1900</v>
      </c>
      <c r="BA255" s="1296">
        <f>MONTH(ESS_DATA[[#This Row],[ETA for New Ark update]])</f>
        <v>1</v>
      </c>
      <c r="BB255" s="1296">
        <f>IFERROR(_xlfn.ISOWEEKNUM(ESS_DATA[[#This Row],[ETA for New Ark update]]),0)</f>
        <v>2</v>
      </c>
      <c r="BC255" s="1296">
        <f>_xlfn.XLOOKUP(ESS_DATA[[#This Row],[PORT DESTINATION]],Table12[PORT DESTINATION],Table12[Cosco Line],,0)</f>
        <v>0</v>
      </c>
      <c r="BD255" s="1296"/>
      <c r="BE255" s="324"/>
      <c r="BF255" s="324"/>
      <c r="BG255" s="324"/>
      <c r="BH255" s="324"/>
      <c r="BI255" s="324"/>
    </row>
    <row r="256" spans="1:61" s="1297" customFormat="1" ht="16.5" customHeight="1">
      <c r="A256" s="1288" t="s">
        <v>7717</v>
      </c>
      <c r="B256" s="1289" t="s">
        <v>7068</v>
      </c>
      <c r="C256" s="1277" t="str">
        <f>IFERROR(LEFT(ESS_DATA[[#This Row],[TCL REFERENCE]],FIND(".",ESS_DATA[[#This Row],[TCL REFERENCE]],1)-1),"Main Line")</f>
        <v>26NOV002</v>
      </c>
      <c r="D256" s="1277" t="s">
        <v>63</v>
      </c>
      <c r="E256" s="162" t="s">
        <v>64</v>
      </c>
      <c r="F256" s="82"/>
      <c r="G256" s="1277"/>
      <c r="H256" s="31"/>
      <c r="I256" s="163"/>
      <c r="J256" s="1277"/>
      <c r="K256" s="1277"/>
      <c r="L256" s="1278"/>
      <c r="M256" s="1279"/>
      <c r="N256" s="1290" t="s">
        <v>7082</v>
      </c>
      <c r="O256" s="1290" t="s">
        <v>7083</v>
      </c>
      <c r="P256" s="1290" t="s">
        <v>7084</v>
      </c>
      <c r="Q256" s="1291"/>
      <c r="R256" s="1292">
        <v>130</v>
      </c>
      <c r="S256" s="1282"/>
      <c r="T256" s="1277"/>
      <c r="U256" s="325">
        <f>ESS_DATA[[#This Row],[QUANTITY]]/260</f>
        <v>0.5</v>
      </c>
      <c r="V256" s="409" t="s">
        <v>7118</v>
      </c>
      <c r="W256" s="1289" t="s">
        <v>7706</v>
      </c>
      <c r="X256" s="317" t="str">
        <f t="shared" si="21"/>
        <v/>
      </c>
      <c r="Y256" s="1293">
        <v>46318</v>
      </c>
      <c r="Z256" s="1293"/>
      <c r="AA256" s="1294">
        <f>WEEKNUM(ESS_DATA[[#This Row],[Pick-Up Date]])</f>
        <v>0</v>
      </c>
      <c r="AB256" s="1289"/>
      <c r="AC256" s="1277"/>
      <c r="AD256" s="1289" t="s">
        <v>122</v>
      </c>
      <c r="AE256" s="314" t="s">
        <v>122</v>
      </c>
      <c r="AF256" s="1289"/>
      <c r="AG256" s="1293"/>
      <c r="AH256" s="1293"/>
      <c r="AI256" s="1293"/>
      <c r="AJ256" s="1293"/>
      <c r="AK256" s="1293"/>
      <c r="AL256" s="1293"/>
      <c r="AM256" s="323"/>
      <c r="AN256" s="1293"/>
      <c r="AO256" s="1293"/>
      <c r="AP256" s="1293"/>
      <c r="AQ256" s="1289"/>
      <c r="AR256" s="1289"/>
      <c r="AS256" s="1289">
        <f>ESS_DATA[[#This Row],[ETA On S/O]]-ESS_DATA[[#This Row],[ETD On S/O]]+1</f>
        <v>1</v>
      </c>
      <c r="AT256" s="1289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295" t="str">
        <f>IF(ISERROR(ESS_DATA[[#This Row],[New Ark PO status]]),"",_xlfn.XLOOKUP(ESS_DATA[[#This Row],[SPTN-PVHK New Ark PO'#]],New_Ark_Data[Purchase order Number],New_Ark_Data[Estimated time of arrival],"",0))</f>
        <v/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1293">
        <f>IFERROR(ESS_DATA[[#This Row],[ODP ETA Port]]+ESS_DATA[[#This Row],[Customs/Leg3 Assumption]],"n/a")</f>
        <v>14</v>
      </c>
      <c r="AZ256" s="1296">
        <f>YEAR(ESS_DATA[[#This Row],[ETA for New Ark update]])</f>
        <v>1900</v>
      </c>
      <c r="BA256" s="1296">
        <f>MONTH(ESS_DATA[[#This Row],[ETA for New Ark update]])</f>
        <v>1</v>
      </c>
      <c r="BB256" s="1296">
        <f>IFERROR(_xlfn.ISOWEEKNUM(ESS_DATA[[#This Row],[ETA for New Ark update]]),0)</f>
        <v>2</v>
      </c>
      <c r="BC256" s="1296">
        <f>_xlfn.XLOOKUP(ESS_DATA[[#This Row],[PORT DESTINATION]],Table12[PORT DESTINATION],Table12[Cosco Line],,0)</f>
        <v>0</v>
      </c>
      <c r="BD256" s="1296"/>
      <c r="BE256" s="324"/>
      <c r="BF256" s="324"/>
      <c r="BG256" s="324"/>
      <c r="BH256" s="324"/>
      <c r="BI256" s="324"/>
    </row>
    <row r="257" spans="1:61" s="1297" customFormat="1" ht="16.5" customHeight="1">
      <c r="A257" s="1288" t="s">
        <v>7718</v>
      </c>
      <c r="B257" s="1289" t="s">
        <v>7068</v>
      </c>
      <c r="C257" s="1277" t="str">
        <f>IFERROR(LEFT(ESS_DATA[[#This Row],[TCL REFERENCE]],FIND(".",ESS_DATA[[#This Row],[TCL REFERENCE]],1)-1),"Main Line")</f>
        <v>26NOV004</v>
      </c>
      <c r="D257" s="1277" t="s">
        <v>63</v>
      </c>
      <c r="E257" s="162" t="s">
        <v>64</v>
      </c>
      <c r="F257" s="82"/>
      <c r="G257" s="1277"/>
      <c r="H257" s="31"/>
      <c r="I257" s="163"/>
      <c r="J257" s="1277"/>
      <c r="K257" s="1277"/>
      <c r="L257" s="1278"/>
      <c r="M257" s="1279"/>
      <c r="N257" s="1290" t="s">
        <v>7094</v>
      </c>
      <c r="O257" s="1290" t="s">
        <v>7291</v>
      </c>
      <c r="P257" s="1290" t="s">
        <v>7096</v>
      </c>
      <c r="Q257" s="1291"/>
      <c r="R257" s="1292">
        <v>130</v>
      </c>
      <c r="S257" s="1282"/>
      <c r="T257" s="1277"/>
      <c r="U257" s="325">
        <f>ESS_DATA[[#This Row],[QUANTITY]]/260</f>
        <v>0.5</v>
      </c>
      <c r="V257" s="409" t="s">
        <v>7118</v>
      </c>
      <c r="W257" s="1289" t="s">
        <v>7706</v>
      </c>
      <c r="X257" s="317" t="str">
        <f t="shared" si="21"/>
        <v/>
      </c>
      <c r="Y257" s="1293">
        <v>46318</v>
      </c>
      <c r="Z257" s="1293"/>
      <c r="AA257" s="1294">
        <f>WEEKNUM(ESS_DATA[[#This Row],[Pick-Up Date]])</f>
        <v>0</v>
      </c>
      <c r="AB257" s="1289"/>
      <c r="AC257" s="1277"/>
      <c r="AD257" s="1289" t="s">
        <v>122</v>
      </c>
      <c r="AE257" s="314" t="s">
        <v>122</v>
      </c>
      <c r="AF257" s="1289"/>
      <c r="AG257" s="1293"/>
      <c r="AH257" s="1293"/>
      <c r="AI257" s="1293"/>
      <c r="AJ257" s="1293"/>
      <c r="AK257" s="1293"/>
      <c r="AL257" s="1293"/>
      <c r="AM257" s="323"/>
      <c r="AN257" s="1293"/>
      <c r="AO257" s="1293"/>
      <c r="AP257" s="1293"/>
      <c r="AQ257" s="1289"/>
      <c r="AR257" s="1289"/>
      <c r="AS257" s="1289">
        <f>ESS_DATA[[#This Row],[ETA On S/O]]-ESS_DATA[[#This Row],[ETD On S/O]]+1</f>
        <v>1</v>
      </c>
      <c r="AT257" s="1289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295" t="str">
        <f>IF(ISERROR(ESS_DATA[[#This Row],[New Ark PO status]]),"",_xlfn.XLOOKUP(ESS_DATA[[#This Row],[SPTN-PVHK New Ark PO'#]],New_Ark_Data[Purchase order Number],New_Ark_Data[Estimated time of arrival],"",0))</f>
        <v/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1293">
        <f>IFERROR(ESS_DATA[[#This Row],[ODP ETA Port]]+ESS_DATA[[#This Row],[Customs/Leg3 Assumption]],"n/a")</f>
        <v>14</v>
      </c>
      <c r="AZ257" s="1296">
        <f>YEAR(ESS_DATA[[#This Row],[ETA for New Ark update]])</f>
        <v>1900</v>
      </c>
      <c r="BA257" s="1296">
        <f>MONTH(ESS_DATA[[#This Row],[ETA for New Ark update]])</f>
        <v>1</v>
      </c>
      <c r="BB257" s="1296">
        <f>IFERROR(_xlfn.ISOWEEKNUM(ESS_DATA[[#This Row],[ETA for New Ark update]]),0)</f>
        <v>2</v>
      </c>
      <c r="BC257" s="1296">
        <f>_xlfn.XLOOKUP(ESS_DATA[[#This Row],[PORT DESTINATION]],Table12[PORT DESTINATION],Table12[Cosco Line],,0)</f>
        <v>0</v>
      </c>
      <c r="BD257" s="1296"/>
      <c r="BE257" s="324"/>
      <c r="BF257" s="324"/>
      <c r="BG257" s="324"/>
      <c r="BH257" s="324"/>
      <c r="BI257" s="324"/>
    </row>
    <row r="258" spans="1:61" s="1297" customFormat="1" ht="16.5" customHeight="1">
      <c r="A258" s="1288" t="s">
        <v>7719</v>
      </c>
      <c r="B258" s="1289" t="s">
        <v>7068</v>
      </c>
      <c r="C258" s="1277" t="str">
        <f>IFERROR(LEFT(ESS_DATA[[#This Row],[TCL REFERENCE]],FIND(".",ESS_DATA[[#This Row],[TCL REFERENCE]],1)-1),"Main Line")</f>
        <v>26NOV002</v>
      </c>
      <c r="D258" s="1277" t="s">
        <v>63</v>
      </c>
      <c r="E258" s="162" t="s">
        <v>64</v>
      </c>
      <c r="F258" s="82"/>
      <c r="G258" s="1277"/>
      <c r="H258" s="31"/>
      <c r="I258" s="163"/>
      <c r="J258" s="1277"/>
      <c r="K258" s="1277"/>
      <c r="L258" s="1278"/>
      <c r="M258" s="1279"/>
      <c r="N258" s="1290" t="s">
        <v>7082</v>
      </c>
      <c r="O258" s="1290" t="s">
        <v>7083</v>
      </c>
      <c r="P258" s="1290" t="s">
        <v>7084</v>
      </c>
      <c r="Q258" s="1291"/>
      <c r="R258" s="1292">
        <v>130</v>
      </c>
      <c r="S258" s="1282"/>
      <c r="T258" s="1277"/>
      <c r="U258" s="325">
        <f>ESS_DATA[[#This Row],[QUANTITY]]/260</f>
        <v>0.5</v>
      </c>
      <c r="V258" s="409" t="s">
        <v>7127</v>
      </c>
      <c r="W258" s="1289" t="s">
        <v>7706</v>
      </c>
      <c r="X258" s="317" t="str">
        <f t="shared" si="21"/>
        <v/>
      </c>
      <c r="Y258" s="1293">
        <v>46318</v>
      </c>
      <c r="Z258" s="1293"/>
      <c r="AA258" s="1294">
        <f>WEEKNUM(ESS_DATA[[#This Row],[Pick-Up Date]])</f>
        <v>0</v>
      </c>
      <c r="AB258" s="1289"/>
      <c r="AC258" s="1277"/>
      <c r="AD258" s="1289" t="s">
        <v>122</v>
      </c>
      <c r="AE258" s="314" t="s">
        <v>122</v>
      </c>
      <c r="AF258" s="1289"/>
      <c r="AG258" s="1293"/>
      <c r="AH258" s="1293"/>
      <c r="AI258" s="1293"/>
      <c r="AJ258" s="1293"/>
      <c r="AK258" s="1293"/>
      <c r="AL258" s="1293"/>
      <c r="AM258" s="323"/>
      <c r="AN258" s="1293"/>
      <c r="AO258" s="1293"/>
      <c r="AP258" s="1293"/>
      <c r="AQ258" s="1289"/>
      <c r="AR258" s="1289"/>
      <c r="AS258" s="1289">
        <f>ESS_DATA[[#This Row],[ETA On S/O]]-ESS_DATA[[#This Row],[ETD On S/O]]+1</f>
        <v>1</v>
      </c>
      <c r="AT258" s="1289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295" t="str">
        <f>IF(ISERROR(ESS_DATA[[#This Row],[New Ark PO status]]),"",_xlfn.XLOOKUP(ESS_DATA[[#This Row],[SPTN-PVHK New Ark PO'#]],New_Ark_Data[Purchase order Number],New_Ark_Data[Estimated time of arrival],"",0))</f>
        <v/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1293">
        <f>IFERROR(ESS_DATA[[#This Row],[ODP ETA Port]]+ESS_DATA[[#This Row],[Customs/Leg3 Assumption]],"n/a")</f>
        <v>14</v>
      </c>
      <c r="AZ258" s="1296">
        <f>YEAR(ESS_DATA[[#This Row],[ETA for New Ark update]])</f>
        <v>1900</v>
      </c>
      <c r="BA258" s="1296">
        <f>MONTH(ESS_DATA[[#This Row],[ETA for New Ark update]])</f>
        <v>1</v>
      </c>
      <c r="BB258" s="1296">
        <f>IFERROR(_xlfn.ISOWEEKNUM(ESS_DATA[[#This Row],[ETA for New Ark update]]),0)</f>
        <v>2</v>
      </c>
      <c r="BC258" s="1296">
        <f>_xlfn.XLOOKUP(ESS_DATA[[#This Row],[PORT DESTINATION]],Table12[PORT DESTINATION],Table12[Cosco Line],,0)</f>
        <v>0</v>
      </c>
      <c r="BD258" s="1296"/>
      <c r="BE258" s="324"/>
      <c r="BF258" s="324"/>
      <c r="BG258" s="324"/>
      <c r="BH258" s="324"/>
      <c r="BI258" s="324"/>
    </row>
    <row r="259" spans="1:61" s="1297" customFormat="1" ht="16.5" customHeight="1">
      <c r="A259" s="1288" t="s">
        <v>7720</v>
      </c>
      <c r="B259" s="1289" t="s">
        <v>7068</v>
      </c>
      <c r="C259" s="1277" t="str">
        <f>IFERROR(LEFT(ESS_DATA[[#This Row],[TCL REFERENCE]],FIND(".",ESS_DATA[[#This Row],[TCL REFERENCE]],1)-1),"Main Line")</f>
        <v>26NOV004</v>
      </c>
      <c r="D259" s="1277" t="s">
        <v>63</v>
      </c>
      <c r="E259" s="162" t="s">
        <v>64</v>
      </c>
      <c r="F259" s="82"/>
      <c r="G259" s="1277"/>
      <c r="H259" s="31"/>
      <c r="I259" s="163"/>
      <c r="J259" s="1277"/>
      <c r="K259" s="1277"/>
      <c r="L259" s="1278"/>
      <c r="M259" s="1279"/>
      <c r="N259" s="1290" t="s">
        <v>7094</v>
      </c>
      <c r="O259" s="1290" t="s">
        <v>7291</v>
      </c>
      <c r="P259" s="1290" t="s">
        <v>7096</v>
      </c>
      <c r="Q259" s="1291"/>
      <c r="R259" s="1292">
        <v>130</v>
      </c>
      <c r="S259" s="1282"/>
      <c r="T259" s="1277"/>
      <c r="U259" s="325">
        <f>ESS_DATA[[#This Row],[QUANTITY]]/260</f>
        <v>0.5</v>
      </c>
      <c r="V259" s="409" t="s">
        <v>7127</v>
      </c>
      <c r="W259" s="1289" t="s">
        <v>7706</v>
      </c>
      <c r="X259" s="317" t="str">
        <f t="shared" si="21"/>
        <v/>
      </c>
      <c r="Y259" s="1293">
        <v>46318</v>
      </c>
      <c r="Z259" s="1293"/>
      <c r="AA259" s="1294">
        <f>WEEKNUM(ESS_DATA[[#This Row],[Pick-Up Date]])</f>
        <v>0</v>
      </c>
      <c r="AB259" s="1289"/>
      <c r="AC259" s="1277"/>
      <c r="AD259" s="1289" t="s">
        <v>122</v>
      </c>
      <c r="AE259" s="314" t="s">
        <v>122</v>
      </c>
      <c r="AF259" s="1289"/>
      <c r="AG259" s="1293"/>
      <c r="AH259" s="1293"/>
      <c r="AI259" s="1293"/>
      <c r="AJ259" s="1293"/>
      <c r="AK259" s="1293"/>
      <c r="AL259" s="1293"/>
      <c r="AM259" s="323"/>
      <c r="AN259" s="1293"/>
      <c r="AO259" s="1293"/>
      <c r="AP259" s="1293"/>
      <c r="AQ259" s="1289"/>
      <c r="AR259" s="1289"/>
      <c r="AS259" s="1289">
        <f>ESS_DATA[[#This Row],[ETA On S/O]]-ESS_DATA[[#This Row],[ETD On S/O]]+1</f>
        <v>1</v>
      </c>
      <c r="AT259" s="1289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95" t="str">
        <f>IF(ISERROR(ESS_DATA[[#This Row],[New Ark PO status]]),"",_xlfn.XLOOKUP(ESS_DATA[[#This Row],[SPTN-PVHK New Ark PO'#]],New_Ark_Data[Purchase order Number],New_Ark_Data[Estimated time of arrival],"",0))</f>
        <v/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1293">
        <f>IFERROR(ESS_DATA[[#This Row],[ODP ETA Port]]+ESS_DATA[[#This Row],[Customs/Leg3 Assumption]],"n/a")</f>
        <v>14</v>
      </c>
      <c r="AZ259" s="1296">
        <f>YEAR(ESS_DATA[[#This Row],[ETA for New Ark update]])</f>
        <v>1900</v>
      </c>
      <c r="BA259" s="1296">
        <f>MONTH(ESS_DATA[[#This Row],[ETA for New Ark update]])</f>
        <v>1</v>
      </c>
      <c r="BB259" s="1296">
        <f>IFERROR(_xlfn.ISOWEEKNUM(ESS_DATA[[#This Row],[ETA for New Ark update]]),0)</f>
        <v>2</v>
      </c>
      <c r="BC259" s="1296">
        <f>_xlfn.XLOOKUP(ESS_DATA[[#This Row],[PORT DESTINATION]],Table12[PORT DESTINATION],Table12[Cosco Line],,0)</f>
        <v>0</v>
      </c>
      <c r="BD259" s="1296"/>
      <c r="BE259" s="324"/>
      <c r="BF259" s="324"/>
      <c r="BG259" s="324"/>
      <c r="BH259" s="324"/>
      <c r="BI259" s="324"/>
    </row>
    <row r="260" spans="1:61" s="1297" customFormat="1" ht="16.5" customHeight="1">
      <c r="A260" s="1288" t="s">
        <v>7721</v>
      </c>
      <c r="B260" s="1289" t="s">
        <v>7068</v>
      </c>
      <c r="C260" s="1277" t="str">
        <f>IFERROR(LEFT(ESS_DATA[[#This Row],[TCL REFERENCE]],FIND(".",ESS_DATA[[#This Row],[TCL REFERENCE]],1)-1),"Main Line")</f>
        <v>26NOV002</v>
      </c>
      <c r="D260" s="1277" t="s">
        <v>63</v>
      </c>
      <c r="E260" s="162" t="s">
        <v>64</v>
      </c>
      <c r="F260" s="82"/>
      <c r="G260" s="1277"/>
      <c r="H260" s="31"/>
      <c r="I260" s="163"/>
      <c r="J260" s="1277"/>
      <c r="K260" s="1277"/>
      <c r="L260" s="1278"/>
      <c r="M260" s="1279"/>
      <c r="N260" s="1290" t="s">
        <v>7082</v>
      </c>
      <c r="O260" s="1290" t="s">
        <v>7083</v>
      </c>
      <c r="P260" s="1290" t="s">
        <v>7084</v>
      </c>
      <c r="Q260" s="1291"/>
      <c r="R260" s="1292">
        <v>130</v>
      </c>
      <c r="S260" s="1282"/>
      <c r="T260" s="1277"/>
      <c r="U260" s="325">
        <f>ESS_DATA[[#This Row],[QUANTITY]]/260</f>
        <v>0.5</v>
      </c>
      <c r="V260" s="409" t="s">
        <v>7131</v>
      </c>
      <c r="W260" s="1289" t="s">
        <v>7673</v>
      </c>
      <c r="X260" s="317" t="str">
        <f t="shared" si="21"/>
        <v/>
      </c>
      <c r="Y260" s="1293">
        <v>46325</v>
      </c>
      <c r="Z260" s="1293"/>
      <c r="AA260" s="1294">
        <f>WEEKNUM(ESS_DATA[[#This Row],[Pick-Up Date]])</f>
        <v>0</v>
      </c>
      <c r="AB260" s="1289"/>
      <c r="AC260" s="1277"/>
      <c r="AD260" s="1289" t="s">
        <v>122</v>
      </c>
      <c r="AE260" s="314" t="s">
        <v>122</v>
      </c>
      <c r="AF260" s="1289"/>
      <c r="AG260" s="1293"/>
      <c r="AH260" s="1293"/>
      <c r="AI260" s="1293"/>
      <c r="AJ260" s="1293"/>
      <c r="AK260" s="1293"/>
      <c r="AL260" s="1293"/>
      <c r="AM260" s="323"/>
      <c r="AN260" s="1293"/>
      <c r="AO260" s="1293"/>
      <c r="AP260" s="1293"/>
      <c r="AQ260" s="1289"/>
      <c r="AR260" s="1289"/>
      <c r="AS260" s="1289">
        <f>ESS_DATA[[#This Row],[ETA On S/O]]-ESS_DATA[[#This Row],[ETD On S/O]]+1</f>
        <v>1</v>
      </c>
      <c r="AT260" s="1289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95" t="str">
        <f>IF(ISERROR(ESS_DATA[[#This Row],[New Ark PO status]]),"",_xlfn.XLOOKUP(ESS_DATA[[#This Row],[SPTN-PVHK New Ark PO'#]],New_Ark_Data[Purchase order Number],New_Ark_Data[Estimated time of arrival],"",0))</f>
        <v/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1293">
        <f>IFERROR(ESS_DATA[[#This Row],[ODP ETA Port]]+ESS_DATA[[#This Row],[Customs/Leg3 Assumption]],"n/a")</f>
        <v>14</v>
      </c>
      <c r="AZ260" s="1296">
        <f>YEAR(ESS_DATA[[#This Row],[ETA for New Ark update]])</f>
        <v>1900</v>
      </c>
      <c r="BA260" s="1296">
        <f>MONTH(ESS_DATA[[#This Row],[ETA for New Ark update]])</f>
        <v>1</v>
      </c>
      <c r="BB260" s="1296">
        <f>IFERROR(_xlfn.ISOWEEKNUM(ESS_DATA[[#This Row],[ETA for New Ark update]]),0)</f>
        <v>2</v>
      </c>
      <c r="BC260" s="1296">
        <f>_xlfn.XLOOKUP(ESS_DATA[[#This Row],[PORT DESTINATION]],Table12[PORT DESTINATION],Table12[Cosco Line],,0)</f>
        <v>0</v>
      </c>
      <c r="BD260" s="1296"/>
      <c r="BE260" s="324"/>
      <c r="BF260" s="324"/>
      <c r="BG260" s="324"/>
      <c r="BH260" s="324"/>
      <c r="BI260" s="324"/>
    </row>
    <row r="261" spans="1:61" s="1297" customFormat="1" ht="16.5" customHeight="1">
      <c r="A261" s="1288" t="s">
        <v>7722</v>
      </c>
      <c r="B261" s="1289" t="s">
        <v>7068</v>
      </c>
      <c r="C261" s="1277" t="str">
        <f>IFERROR(LEFT(ESS_DATA[[#This Row],[TCL REFERENCE]],FIND(".",ESS_DATA[[#This Row],[TCL REFERENCE]],1)-1),"Main Line")</f>
        <v>26NOV004</v>
      </c>
      <c r="D261" s="1277" t="s">
        <v>63</v>
      </c>
      <c r="E261" s="162" t="s">
        <v>64</v>
      </c>
      <c r="F261" s="82"/>
      <c r="G261" s="1277"/>
      <c r="H261" s="31"/>
      <c r="I261" s="163"/>
      <c r="J261" s="1277"/>
      <c r="K261" s="1277"/>
      <c r="L261" s="1278"/>
      <c r="M261" s="1279"/>
      <c r="N261" s="1290" t="s">
        <v>7094</v>
      </c>
      <c r="O261" s="1290" t="s">
        <v>7291</v>
      </c>
      <c r="P261" s="1290" t="s">
        <v>7096</v>
      </c>
      <c r="Q261" s="1291"/>
      <c r="R261" s="1292">
        <v>130</v>
      </c>
      <c r="S261" s="1282"/>
      <c r="T261" s="1277"/>
      <c r="U261" s="325">
        <f>ESS_DATA[[#This Row],[QUANTITY]]/260</f>
        <v>0.5</v>
      </c>
      <c r="V261" s="409" t="s">
        <v>7131</v>
      </c>
      <c r="W261" s="1289" t="s">
        <v>7673</v>
      </c>
      <c r="X261" s="317" t="str">
        <f t="shared" si="21"/>
        <v/>
      </c>
      <c r="Y261" s="1293">
        <v>46325</v>
      </c>
      <c r="Z261" s="1293"/>
      <c r="AA261" s="1294">
        <f>WEEKNUM(ESS_DATA[[#This Row],[Pick-Up Date]])</f>
        <v>0</v>
      </c>
      <c r="AB261" s="1289"/>
      <c r="AC261" s="1277"/>
      <c r="AD261" s="1289" t="s">
        <v>122</v>
      </c>
      <c r="AE261" s="314" t="s">
        <v>122</v>
      </c>
      <c r="AF261" s="1289"/>
      <c r="AG261" s="1293"/>
      <c r="AH261" s="1293"/>
      <c r="AI261" s="1293"/>
      <c r="AJ261" s="1293"/>
      <c r="AK261" s="1293"/>
      <c r="AL261" s="1293"/>
      <c r="AM261" s="323"/>
      <c r="AN261" s="1293"/>
      <c r="AO261" s="1293"/>
      <c r="AP261" s="1293"/>
      <c r="AQ261" s="1289"/>
      <c r="AR261" s="1289"/>
      <c r="AS261" s="1289">
        <f>ESS_DATA[[#This Row],[ETA On S/O]]-ESS_DATA[[#This Row],[ETD On S/O]]+1</f>
        <v>1</v>
      </c>
      <c r="AT261" s="1289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95" t="str">
        <f>IF(ISERROR(ESS_DATA[[#This Row],[New Ark PO status]]),"",_xlfn.XLOOKUP(ESS_DATA[[#This Row],[SPTN-PVHK New Ark PO'#]],New_Ark_Data[Purchase order Number],New_Ark_Data[Estimated time of arrival],"",0))</f>
        <v/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1293">
        <f>IFERROR(ESS_DATA[[#This Row],[ODP ETA Port]]+ESS_DATA[[#This Row],[Customs/Leg3 Assumption]],"n/a")</f>
        <v>14</v>
      </c>
      <c r="AZ261" s="1296">
        <f>YEAR(ESS_DATA[[#This Row],[ETA for New Ark update]])</f>
        <v>1900</v>
      </c>
      <c r="BA261" s="1296">
        <f>MONTH(ESS_DATA[[#This Row],[ETA for New Ark update]])</f>
        <v>1</v>
      </c>
      <c r="BB261" s="1296">
        <f>IFERROR(_xlfn.ISOWEEKNUM(ESS_DATA[[#This Row],[ETA for New Ark update]]),0)</f>
        <v>2</v>
      </c>
      <c r="BC261" s="1296">
        <f>_xlfn.XLOOKUP(ESS_DATA[[#This Row],[PORT DESTINATION]],Table12[PORT DESTINATION],Table12[Cosco Line],,0)</f>
        <v>0</v>
      </c>
      <c r="BD261" s="1296"/>
      <c r="BE261" s="324"/>
      <c r="BF261" s="324"/>
      <c r="BG261" s="324"/>
      <c r="BH261" s="324"/>
      <c r="BI261" s="324"/>
    </row>
    <row r="262" spans="1:61" s="1297" customFormat="1" ht="16.5" customHeight="1">
      <c r="A262" s="1288" t="s">
        <v>7723</v>
      </c>
      <c r="B262" s="1289" t="s">
        <v>7068</v>
      </c>
      <c r="C262" s="1277" t="str">
        <f>IFERROR(LEFT(ESS_DATA[[#This Row],[TCL REFERENCE]],FIND(".",ESS_DATA[[#This Row],[TCL REFERENCE]],1)-1),"Main Line")</f>
        <v>26NOV002</v>
      </c>
      <c r="D262" s="1277" t="s">
        <v>63</v>
      </c>
      <c r="E262" s="162" t="s">
        <v>64</v>
      </c>
      <c r="F262" s="82"/>
      <c r="G262" s="1277"/>
      <c r="H262" s="31"/>
      <c r="I262" s="163"/>
      <c r="J262" s="1277"/>
      <c r="K262" s="1277"/>
      <c r="L262" s="1278"/>
      <c r="M262" s="1279"/>
      <c r="N262" s="1290" t="s">
        <v>7082</v>
      </c>
      <c r="O262" s="1290" t="s">
        <v>7083</v>
      </c>
      <c r="P262" s="1290" t="s">
        <v>7084</v>
      </c>
      <c r="Q262" s="1291"/>
      <c r="R262" s="1292">
        <v>130</v>
      </c>
      <c r="S262" s="1282"/>
      <c r="T262" s="1277"/>
      <c r="U262" s="325">
        <f>ESS_DATA[[#This Row],[QUANTITY]]/260</f>
        <v>0.5</v>
      </c>
      <c r="V262" s="409" t="s">
        <v>7311</v>
      </c>
      <c r="W262" s="1289" t="s">
        <v>7673</v>
      </c>
      <c r="X262" s="317" t="str">
        <f t="shared" si="21"/>
        <v/>
      </c>
      <c r="Y262" s="1293">
        <v>46325</v>
      </c>
      <c r="Z262" s="1293"/>
      <c r="AA262" s="1294">
        <f>WEEKNUM(ESS_DATA[[#This Row],[Pick-Up Date]])</f>
        <v>0</v>
      </c>
      <c r="AB262" s="1289"/>
      <c r="AC262" s="1277"/>
      <c r="AD262" s="1289" t="s">
        <v>122</v>
      </c>
      <c r="AE262" s="314" t="s">
        <v>122</v>
      </c>
      <c r="AF262" s="1289"/>
      <c r="AG262" s="1293"/>
      <c r="AH262" s="1293"/>
      <c r="AI262" s="1293"/>
      <c r="AJ262" s="1293"/>
      <c r="AK262" s="1293"/>
      <c r="AL262" s="1293"/>
      <c r="AM262" s="323"/>
      <c r="AN262" s="1293"/>
      <c r="AO262" s="1293"/>
      <c r="AP262" s="1293"/>
      <c r="AQ262" s="1289"/>
      <c r="AR262" s="1289"/>
      <c r="AS262" s="1289">
        <f>ESS_DATA[[#This Row],[ETA On S/O]]-ESS_DATA[[#This Row],[ETD On S/O]]+1</f>
        <v>1</v>
      </c>
      <c r="AT262" s="1289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95" t="str">
        <f>IF(ISERROR(ESS_DATA[[#This Row],[New Ark PO status]]),"",_xlfn.XLOOKUP(ESS_DATA[[#This Row],[SPTN-PVHK New Ark PO'#]],New_Ark_Data[Purchase order Number],New_Ark_Data[Estimated time of arrival],"",0))</f>
        <v/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1293">
        <f>IFERROR(ESS_DATA[[#This Row],[ODP ETA Port]]+ESS_DATA[[#This Row],[Customs/Leg3 Assumption]],"n/a")</f>
        <v>14</v>
      </c>
      <c r="AZ262" s="1296">
        <f>YEAR(ESS_DATA[[#This Row],[ETA for New Ark update]])</f>
        <v>1900</v>
      </c>
      <c r="BA262" s="1296">
        <f>MONTH(ESS_DATA[[#This Row],[ETA for New Ark update]])</f>
        <v>1</v>
      </c>
      <c r="BB262" s="1296">
        <f>IFERROR(_xlfn.ISOWEEKNUM(ESS_DATA[[#This Row],[ETA for New Ark update]]),0)</f>
        <v>2</v>
      </c>
      <c r="BC262" s="1296">
        <f>_xlfn.XLOOKUP(ESS_DATA[[#This Row],[PORT DESTINATION]],Table12[PORT DESTINATION],Table12[Cosco Line],,0)</f>
        <v>0</v>
      </c>
      <c r="BD262" s="1296"/>
      <c r="BE262" s="324"/>
      <c r="BF262" s="324"/>
      <c r="BG262" s="324"/>
      <c r="BH262" s="324"/>
      <c r="BI262" s="324"/>
    </row>
    <row r="263" spans="1:61" s="1297" customFormat="1" ht="16.5" customHeight="1">
      <c r="A263" s="1288" t="s">
        <v>7724</v>
      </c>
      <c r="B263" s="1289" t="s">
        <v>7068</v>
      </c>
      <c r="C263" s="1277" t="str">
        <f>IFERROR(LEFT(ESS_DATA[[#This Row],[TCL REFERENCE]],FIND(".",ESS_DATA[[#This Row],[TCL REFERENCE]],1)-1),"Main Line")</f>
        <v>26NOV004</v>
      </c>
      <c r="D263" s="1277" t="s">
        <v>63</v>
      </c>
      <c r="E263" s="162" t="s">
        <v>64</v>
      </c>
      <c r="F263" s="82"/>
      <c r="G263" s="1277"/>
      <c r="H263" s="31"/>
      <c r="I263" s="163"/>
      <c r="J263" s="1277"/>
      <c r="K263" s="1277"/>
      <c r="L263" s="1278"/>
      <c r="M263" s="1279"/>
      <c r="N263" s="1290" t="s">
        <v>7094</v>
      </c>
      <c r="O263" s="1290" t="s">
        <v>7291</v>
      </c>
      <c r="P263" s="1290" t="s">
        <v>7096</v>
      </c>
      <c r="Q263" s="1291"/>
      <c r="R263" s="1292">
        <v>130</v>
      </c>
      <c r="S263" s="1282"/>
      <c r="T263" s="1277"/>
      <c r="U263" s="325">
        <f>ESS_DATA[[#This Row],[QUANTITY]]/260</f>
        <v>0.5</v>
      </c>
      <c r="V263" s="409" t="s">
        <v>7311</v>
      </c>
      <c r="W263" s="1289" t="s">
        <v>7673</v>
      </c>
      <c r="X263" s="317" t="str">
        <f t="shared" ref="X263:X265" si="22">IF(AL263&lt;&gt;"","COMPLETED",IF(AI263&lt;&gt;"","IN-TRANSIT",""))</f>
        <v/>
      </c>
      <c r="Y263" s="1293">
        <v>46325</v>
      </c>
      <c r="Z263" s="1293"/>
      <c r="AA263" s="1294">
        <f>WEEKNUM(ESS_DATA[[#This Row],[Pick-Up Date]])</f>
        <v>0</v>
      </c>
      <c r="AB263" s="1289"/>
      <c r="AC263" s="1277"/>
      <c r="AD263" s="1289" t="s">
        <v>122</v>
      </c>
      <c r="AE263" s="314" t="s">
        <v>122</v>
      </c>
      <c r="AF263" s="1289"/>
      <c r="AG263" s="1293"/>
      <c r="AH263" s="1293"/>
      <c r="AI263" s="1293"/>
      <c r="AJ263" s="1293"/>
      <c r="AK263" s="1293"/>
      <c r="AL263" s="1293"/>
      <c r="AM263" s="323"/>
      <c r="AN263" s="1293"/>
      <c r="AO263" s="1293"/>
      <c r="AP263" s="1293"/>
      <c r="AQ263" s="1289"/>
      <c r="AR263" s="1289"/>
      <c r="AS263" s="1289">
        <f>ESS_DATA[[#This Row],[ETA On S/O]]-ESS_DATA[[#This Row],[ETD On S/O]]+1</f>
        <v>1</v>
      </c>
      <c r="AT263" s="1289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95" t="str">
        <f>IF(ISERROR(ESS_DATA[[#This Row],[New Ark PO status]]),"",_xlfn.XLOOKUP(ESS_DATA[[#This Row],[SPTN-PVHK New Ark PO'#]],New_Ark_Data[Purchase order Number],New_Ark_Data[Estimated time of arrival],"",0))</f>
        <v/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1293">
        <f>IFERROR(ESS_DATA[[#This Row],[ODP ETA Port]]+ESS_DATA[[#This Row],[Customs/Leg3 Assumption]],"n/a")</f>
        <v>14</v>
      </c>
      <c r="AZ263" s="1296">
        <f>YEAR(ESS_DATA[[#This Row],[ETA for New Ark update]])</f>
        <v>1900</v>
      </c>
      <c r="BA263" s="1296">
        <f>MONTH(ESS_DATA[[#This Row],[ETA for New Ark update]])</f>
        <v>1</v>
      </c>
      <c r="BB263" s="1296">
        <f>IFERROR(_xlfn.ISOWEEKNUM(ESS_DATA[[#This Row],[ETA for New Ark update]]),0)</f>
        <v>2</v>
      </c>
      <c r="BC263" s="1296">
        <f>_xlfn.XLOOKUP(ESS_DATA[[#This Row],[PORT DESTINATION]],Table12[PORT DESTINATION],Table12[Cosco Line],,0)</f>
        <v>0</v>
      </c>
      <c r="BD263" s="1296"/>
      <c r="BE263" s="324"/>
      <c r="BF263" s="324"/>
      <c r="BG263" s="324"/>
      <c r="BH263" s="324"/>
      <c r="BI263" s="324"/>
    </row>
    <row r="264" spans="1:61" s="1297" customFormat="1" ht="16.5" customHeight="1">
      <c r="A264" s="1288" t="s">
        <v>7725</v>
      </c>
      <c r="B264" s="1289" t="s">
        <v>7068</v>
      </c>
      <c r="C264" s="1277" t="str">
        <f>IFERROR(LEFT(ESS_DATA[[#This Row],[TCL REFERENCE]],FIND(".",ESS_DATA[[#This Row],[TCL REFERENCE]],1)-1),"Main Line")</f>
        <v>26NOV002</v>
      </c>
      <c r="D264" s="1277" t="s">
        <v>63</v>
      </c>
      <c r="E264" s="162" t="s">
        <v>64</v>
      </c>
      <c r="F264" s="82"/>
      <c r="G264" s="1277"/>
      <c r="H264" s="31"/>
      <c r="I264" s="163"/>
      <c r="J264" s="1277"/>
      <c r="K264" s="1277"/>
      <c r="L264" s="1278"/>
      <c r="M264" s="1279"/>
      <c r="N264" s="1290" t="s">
        <v>7082</v>
      </c>
      <c r="O264" s="1290" t="s">
        <v>7083</v>
      </c>
      <c r="P264" s="1290" t="s">
        <v>7084</v>
      </c>
      <c r="Q264" s="1291"/>
      <c r="R264" s="1292">
        <v>130</v>
      </c>
      <c r="S264" s="1282"/>
      <c r="T264" s="1277"/>
      <c r="U264" s="325">
        <f>ESS_DATA[[#This Row],[QUANTITY]]/260</f>
        <v>0.5</v>
      </c>
      <c r="V264" s="409" t="s">
        <v>7340</v>
      </c>
      <c r="W264" s="1289" t="s">
        <v>7726</v>
      </c>
      <c r="X264" s="317" t="str">
        <f t="shared" si="22"/>
        <v/>
      </c>
      <c r="Y264" s="1293">
        <v>46332</v>
      </c>
      <c r="Z264" s="1293"/>
      <c r="AA264" s="1294">
        <f>WEEKNUM(ESS_DATA[[#This Row],[Pick-Up Date]])</f>
        <v>0</v>
      </c>
      <c r="AB264" s="1289"/>
      <c r="AC264" s="1277"/>
      <c r="AD264" s="1289" t="s">
        <v>122</v>
      </c>
      <c r="AE264" s="314" t="s">
        <v>122</v>
      </c>
      <c r="AF264" s="1289"/>
      <c r="AG264" s="1293"/>
      <c r="AH264" s="1293"/>
      <c r="AI264" s="1293"/>
      <c r="AJ264" s="1293"/>
      <c r="AK264" s="1293"/>
      <c r="AL264" s="1293"/>
      <c r="AM264" s="323"/>
      <c r="AN264" s="1293"/>
      <c r="AO264" s="1293"/>
      <c r="AP264" s="1293"/>
      <c r="AQ264" s="1289"/>
      <c r="AR264" s="1289"/>
      <c r="AS264" s="1289">
        <f>ESS_DATA[[#This Row],[ETA On S/O]]-ESS_DATA[[#This Row],[ETD On S/O]]+1</f>
        <v>1</v>
      </c>
      <c r="AT264" s="1289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95" t="str">
        <f>IF(ISERROR(ESS_DATA[[#This Row],[New Ark PO status]]),"",_xlfn.XLOOKUP(ESS_DATA[[#This Row],[SPTN-PVHK New Ark PO'#]],New_Ark_Data[Purchase order Number],New_Ark_Data[Estimated time of arrival],"",0))</f>
        <v/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1293">
        <f>IFERROR(ESS_DATA[[#This Row],[ODP ETA Port]]+ESS_DATA[[#This Row],[Customs/Leg3 Assumption]],"n/a")</f>
        <v>14</v>
      </c>
      <c r="AZ264" s="1296">
        <f>YEAR(ESS_DATA[[#This Row],[ETA for New Ark update]])</f>
        <v>1900</v>
      </c>
      <c r="BA264" s="1296">
        <f>MONTH(ESS_DATA[[#This Row],[ETA for New Ark update]])</f>
        <v>1</v>
      </c>
      <c r="BB264" s="1296">
        <f>IFERROR(_xlfn.ISOWEEKNUM(ESS_DATA[[#This Row],[ETA for New Ark update]]),0)</f>
        <v>2</v>
      </c>
      <c r="BC264" s="1296">
        <f>_xlfn.XLOOKUP(ESS_DATA[[#This Row],[PORT DESTINATION]],Table12[PORT DESTINATION],Table12[Cosco Line],,0)</f>
        <v>0</v>
      </c>
      <c r="BD264" s="1296"/>
      <c r="BE264" s="324"/>
      <c r="BF264" s="324"/>
      <c r="BG264" s="324"/>
      <c r="BH264" s="324"/>
      <c r="BI264" s="324"/>
    </row>
    <row r="265" spans="1:61" s="1297" customFormat="1" ht="16.5" customHeight="1">
      <c r="A265" s="1288" t="s">
        <v>7727</v>
      </c>
      <c r="B265" s="1289" t="s">
        <v>7068</v>
      </c>
      <c r="C265" s="1277" t="str">
        <f>IFERROR(LEFT(ESS_DATA[[#This Row],[TCL REFERENCE]],FIND(".",ESS_DATA[[#This Row],[TCL REFERENCE]],1)-1),"Main Line")</f>
        <v>26NOV004</v>
      </c>
      <c r="D265" s="1277" t="s">
        <v>63</v>
      </c>
      <c r="E265" s="162" t="s">
        <v>64</v>
      </c>
      <c r="F265" s="82"/>
      <c r="G265" s="1277"/>
      <c r="H265" s="31"/>
      <c r="I265" s="163"/>
      <c r="J265" s="1277"/>
      <c r="K265" s="1277"/>
      <c r="L265" s="1278"/>
      <c r="M265" s="1279"/>
      <c r="N265" s="1290" t="s">
        <v>7094</v>
      </c>
      <c r="O265" s="1290" t="s">
        <v>7291</v>
      </c>
      <c r="P265" s="1290" t="s">
        <v>7096</v>
      </c>
      <c r="Q265" s="1291"/>
      <c r="R265" s="1292">
        <v>130</v>
      </c>
      <c r="S265" s="1282"/>
      <c r="T265" s="1277"/>
      <c r="U265" s="325">
        <f>ESS_DATA[[#This Row],[QUANTITY]]/260</f>
        <v>0.5</v>
      </c>
      <c r="V265" s="409" t="s">
        <v>7340</v>
      </c>
      <c r="W265" s="1289" t="s">
        <v>7726</v>
      </c>
      <c r="X265" s="317" t="str">
        <f t="shared" si="22"/>
        <v/>
      </c>
      <c r="Y265" s="1293">
        <v>46332</v>
      </c>
      <c r="Z265" s="1293"/>
      <c r="AA265" s="1294">
        <f>WEEKNUM(ESS_DATA[[#This Row],[Pick-Up Date]])</f>
        <v>0</v>
      </c>
      <c r="AB265" s="1289"/>
      <c r="AC265" s="1277"/>
      <c r="AD265" s="1289" t="s">
        <v>122</v>
      </c>
      <c r="AE265" s="314" t="s">
        <v>122</v>
      </c>
      <c r="AF265" s="1289"/>
      <c r="AG265" s="1293"/>
      <c r="AH265" s="1293"/>
      <c r="AI265" s="1293"/>
      <c r="AJ265" s="1293"/>
      <c r="AK265" s="1293"/>
      <c r="AL265" s="1293"/>
      <c r="AM265" s="323"/>
      <c r="AN265" s="1293"/>
      <c r="AO265" s="1293"/>
      <c r="AP265" s="1293"/>
      <c r="AQ265" s="1289"/>
      <c r="AR265" s="1289"/>
      <c r="AS265" s="1289">
        <f>ESS_DATA[[#This Row],[ETA On S/O]]-ESS_DATA[[#This Row],[ETD On S/O]]+1</f>
        <v>1</v>
      </c>
      <c r="AT265" s="1289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95" t="str">
        <f>IF(ISERROR(ESS_DATA[[#This Row],[New Ark PO status]]),"",_xlfn.XLOOKUP(ESS_DATA[[#This Row],[SPTN-PVHK New Ark PO'#]],New_Ark_Data[Purchase order Number],New_Ark_Data[Estimated time of arrival],"",0))</f>
        <v/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1293">
        <f>IFERROR(ESS_DATA[[#This Row],[ODP ETA Port]]+ESS_DATA[[#This Row],[Customs/Leg3 Assumption]],"n/a")</f>
        <v>14</v>
      </c>
      <c r="AZ265" s="1296">
        <f>YEAR(ESS_DATA[[#This Row],[ETA for New Ark update]])</f>
        <v>1900</v>
      </c>
      <c r="BA265" s="1296">
        <f>MONTH(ESS_DATA[[#This Row],[ETA for New Ark update]])</f>
        <v>1</v>
      </c>
      <c r="BB265" s="1296">
        <f>IFERROR(_xlfn.ISOWEEKNUM(ESS_DATA[[#This Row],[ETA for New Ark update]]),0)</f>
        <v>2</v>
      </c>
      <c r="BC265" s="1296">
        <f>_xlfn.XLOOKUP(ESS_DATA[[#This Row],[PORT DESTINATION]],Table12[PORT DESTINATION],Table12[Cosco Line],,0)</f>
        <v>0</v>
      </c>
      <c r="BD265" s="1296"/>
      <c r="BE265" s="324"/>
      <c r="BF265" s="324"/>
      <c r="BG265" s="324"/>
      <c r="BH265" s="324"/>
      <c r="BI265" s="324"/>
    </row>
    <row r="266" spans="1:61" s="1297" customFormat="1" ht="16.5" customHeight="1">
      <c r="A266" s="1288" t="s">
        <v>7728</v>
      </c>
      <c r="B266" s="1289" t="s">
        <v>7068</v>
      </c>
      <c r="C266" s="1277" t="str">
        <f>IFERROR(LEFT(ESS_DATA[[#This Row],[TCL REFERENCE]],FIND(".",ESS_DATA[[#This Row],[TCL REFERENCE]],1)-1),"Main Line")</f>
        <v>26NOV002</v>
      </c>
      <c r="D266" s="1277" t="s">
        <v>63</v>
      </c>
      <c r="E266" s="162" t="s">
        <v>64</v>
      </c>
      <c r="F266" s="82"/>
      <c r="G266" s="1277"/>
      <c r="H266" s="31"/>
      <c r="I266" s="163"/>
      <c r="J266" s="1277"/>
      <c r="K266" s="1277"/>
      <c r="L266" s="1278"/>
      <c r="M266" s="1279"/>
      <c r="N266" s="1290" t="s">
        <v>7082</v>
      </c>
      <c r="O266" s="1290" t="s">
        <v>7083</v>
      </c>
      <c r="P266" s="1290" t="s">
        <v>7084</v>
      </c>
      <c r="Q266" s="1291"/>
      <c r="R266" s="1292">
        <v>130</v>
      </c>
      <c r="S266" s="1282"/>
      <c r="T266" s="1277"/>
      <c r="U266" s="325">
        <f>ESS_DATA[[#This Row],[QUANTITY]]/260</f>
        <v>0.5</v>
      </c>
      <c r="V266" s="409" t="s">
        <v>7353</v>
      </c>
      <c r="W266" s="1289" t="s">
        <v>7726</v>
      </c>
      <c r="X266" s="317" t="str">
        <f t="shared" ref="X266:X267" si="23">IF(AL266&lt;&gt;"","COMPLETED",IF(AI266&lt;&gt;"","IN-TRANSIT",""))</f>
        <v/>
      </c>
      <c r="Y266" s="1293">
        <v>46332</v>
      </c>
      <c r="Z266" s="1293"/>
      <c r="AA266" s="1294">
        <f>WEEKNUM(ESS_DATA[[#This Row],[Pick-Up Date]])</f>
        <v>0</v>
      </c>
      <c r="AB266" s="1289"/>
      <c r="AC266" s="1277"/>
      <c r="AD266" s="1289" t="s">
        <v>122</v>
      </c>
      <c r="AE266" s="314" t="s">
        <v>122</v>
      </c>
      <c r="AF266" s="1289"/>
      <c r="AG266" s="1293"/>
      <c r="AH266" s="1293"/>
      <c r="AI266" s="1293"/>
      <c r="AJ266" s="1293"/>
      <c r="AK266" s="1293"/>
      <c r="AL266" s="1293"/>
      <c r="AM266" s="323"/>
      <c r="AN266" s="1293"/>
      <c r="AO266" s="1293"/>
      <c r="AP266" s="1293"/>
      <c r="AQ266" s="1289"/>
      <c r="AR266" s="1289"/>
      <c r="AS266" s="1289">
        <f>ESS_DATA[[#This Row],[ETA On S/O]]-ESS_DATA[[#This Row],[ETD On S/O]]+1</f>
        <v>1</v>
      </c>
      <c r="AT266" s="1289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95" t="str">
        <f>IF(ISERROR(ESS_DATA[[#This Row],[New Ark PO status]]),"",_xlfn.XLOOKUP(ESS_DATA[[#This Row],[SPTN-PVHK New Ark PO'#]],New_Ark_Data[Purchase order Number],New_Ark_Data[Estimated time of arrival],"",0))</f>
        <v/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1293">
        <f>IFERROR(ESS_DATA[[#This Row],[ODP ETA Port]]+ESS_DATA[[#This Row],[Customs/Leg3 Assumption]],"n/a")</f>
        <v>14</v>
      </c>
      <c r="AZ266" s="1296">
        <f>YEAR(ESS_DATA[[#This Row],[ETA for New Ark update]])</f>
        <v>1900</v>
      </c>
      <c r="BA266" s="1296">
        <f>MONTH(ESS_DATA[[#This Row],[ETA for New Ark update]])</f>
        <v>1</v>
      </c>
      <c r="BB266" s="1296">
        <f>IFERROR(_xlfn.ISOWEEKNUM(ESS_DATA[[#This Row],[ETA for New Ark update]]),0)</f>
        <v>2</v>
      </c>
      <c r="BC266" s="1296">
        <f>_xlfn.XLOOKUP(ESS_DATA[[#This Row],[PORT DESTINATION]],Table12[PORT DESTINATION],Table12[Cosco Line],,0)</f>
        <v>0</v>
      </c>
      <c r="BD266" s="1296"/>
      <c r="BE266" s="324"/>
      <c r="BF266" s="324"/>
      <c r="BG266" s="324"/>
      <c r="BH266" s="324"/>
      <c r="BI266" s="324"/>
    </row>
    <row r="267" spans="1:61" s="1297" customFormat="1" ht="16.5" customHeight="1">
      <c r="A267" s="1288" t="s">
        <v>7729</v>
      </c>
      <c r="B267" s="1289" t="s">
        <v>7068</v>
      </c>
      <c r="C267" s="1277" t="str">
        <f>IFERROR(LEFT(ESS_DATA[[#This Row],[TCL REFERENCE]],FIND(".",ESS_DATA[[#This Row],[TCL REFERENCE]],1)-1),"Main Line")</f>
        <v>26NOV004</v>
      </c>
      <c r="D267" s="1277" t="s">
        <v>63</v>
      </c>
      <c r="E267" s="162" t="s">
        <v>64</v>
      </c>
      <c r="F267" s="82"/>
      <c r="G267" s="1277"/>
      <c r="H267" s="31"/>
      <c r="I267" s="163"/>
      <c r="J267" s="1277"/>
      <c r="K267" s="1277"/>
      <c r="L267" s="1278"/>
      <c r="M267" s="1279"/>
      <c r="N267" s="1290" t="s">
        <v>7094</v>
      </c>
      <c r="O267" s="1290" t="s">
        <v>7291</v>
      </c>
      <c r="P267" s="1290" t="s">
        <v>7096</v>
      </c>
      <c r="Q267" s="1291"/>
      <c r="R267" s="1292">
        <v>130</v>
      </c>
      <c r="S267" s="1282"/>
      <c r="T267" s="1277"/>
      <c r="U267" s="325">
        <f>ESS_DATA[[#This Row],[QUANTITY]]/260</f>
        <v>0.5</v>
      </c>
      <c r="V267" s="409" t="s">
        <v>7353</v>
      </c>
      <c r="W267" s="1289" t="s">
        <v>7726</v>
      </c>
      <c r="X267" s="317" t="str">
        <f t="shared" si="23"/>
        <v/>
      </c>
      <c r="Y267" s="1293">
        <v>46332</v>
      </c>
      <c r="Z267" s="1293"/>
      <c r="AA267" s="1294">
        <f>WEEKNUM(ESS_DATA[[#This Row],[Pick-Up Date]])</f>
        <v>0</v>
      </c>
      <c r="AB267" s="1289"/>
      <c r="AC267" s="1277"/>
      <c r="AD267" s="1289" t="s">
        <v>122</v>
      </c>
      <c r="AE267" s="314" t="s">
        <v>122</v>
      </c>
      <c r="AF267" s="1289"/>
      <c r="AG267" s="1293"/>
      <c r="AH267" s="1293"/>
      <c r="AI267" s="1293"/>
      <c r="AJ267" s="1293"/>
      <c r="AK267" s="1293"/>
      <c r="AL267" s="1293"/>
      <c r="AM267" s="323"/>
      <c r="AN267" s="1293"/>
      <c r="AO267" s="1293"/>
      <c r="AP267" s="1293"/>
      <c r="AQ267" s="1289"/>
      <c r="AR267" s="1289"/>
      <c r="AS267" s="1289">
        <f>ESS_DATA[[#This Row],[ETA On S/O]]-ESS_DATA[[#This Row],[ETD On S/O]]+1</f>
        <v>1</v>
      </c>
      <c r="AT267" s="1289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95" t="str">
        <f>IF(ISERROR(ESS_DATA[[#This Row],[New Ark PO status]]),"",_xlfn.XLOOKUP(ESS_DATA[[#This Row],[SPTN-PVHK New Ark PO'#]],New_Ark_Data[Purchase order Number],New_Ark_Data[Estimated time of arrival],"",0))</f>
        <v/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1293">
        <f>IFERROR(ESS_DATA[[#This Row],[ODP ETA Port]]+ESS_DATA[[#This Row],[Customs/Leg3 Assumption]],"n/a")</f>
        <v>14</v>
      </c>
      <c r="AZ267" s="1296">
        <f>YEAR(ESS_DATA[[#This Row],[ETA for New Ark update]])</f>
        <v>1900</v>
      </c>
      <c r="BA267" s="1296">
        <f>MONTH(ESS_DATA[[#This Row],[ETA for New Ark update]])</f>
        <v>1</v>
      </c>
      <c r="BB267" s="1296">
        <f>IFERROR(_xlfn.ISOWEEKNUM(ESS_DATA[[#This Row],[ETA for New Ark update]]),0)</f>
        <v>2</v>
      </c>
      <c r="BC267" s="1296">
        <f>_xlfn.XLOOKUP(ESS_DATA[[#This Row],[PORT DESTINATION]],Table12[PORT DESTINATION],Table12[Cosco Line],,0)</f>
        <v>0</v>
      </c>
      <c r="BD267" s="1296"/>
      <c r="BE267" s="324"/>
      <c r="BF267" s="324"/>
      <c r="BG267" s="324"/>
      <c r="BH267" s="324"/>
      <c r="BI267" s="324"/>
    </row>
    <row r="268" spans="1:61" s="1297" customFormat="1" ht="16.5" customHeight="1">
      <c r="A268" s="1288" t="s">
        <v>7730</v>
      </c>
      <c r="B268" s="1289" t="s">
        <v>7068</v>
      </c>
      <c r="C268" s="1277" t="str">
        <f>IFERROR(LEFT(ESS_DATA[[#This Row],[TCL REFERENCE]],FIND(".",ESS_DATA[[#This Row],[TCL REFERENCE]],1)-1),"Main Line")</f>
        <v>26NOV002</v>
      </c>
      <c r="D268" s="1277" t="s">
        <v>63</v>
      </c>
      <c r="E268" s="162" t="s">
        <v>64</v>
      </c>
      <c r="F268" s="82"/>
      <c r="G268" s="1277"/>
      <c r="H268" s="31"/>
      <c r="I268" s="163"/>
      <c r="J268" s="1277"/>
      <c r="K268" s="1277"/>
      <c r="L268" s="1278"/>
      <c r="M268" s="1279"/>
      <c r="N268" s="1290" t="s">
        <v>7082</v>
      </c>
      <c r="O268" s="1290" t="s">
        <v>7083</v>
      </c>
      <c r="P268" s="1290" t="s">
        <v>7084</v>
      </c>
      <c r="Q268" s="1291"/>
      <c r="R268" s="1292">
        <v>130</v>
      </c>
      <c r="S268" s="1282"/>
      <c r="T268" s="1277"/>
      <c r="U268" s="325">
        <f>ESS_DATA[[#This Row],[QUANTITY]]/260</f>
        <v>0.5</v>
      </c>
      <c r="V268" s="409" t="s">
        <v>7430</v>
      </c>
      <c r="W268" s="1289" t="s">
        <v>7731</v>
      </c>
      <c r="X268" s="317" t="str">
        <f t="shared" ref="X268:X269" si="24">IF(AL268&lt;&gt;"","COMPLETED",IF(AI268&lt;&gt;"","IN-TRANSIT",""))</f>
        <v/>
      </c>
      <c r="Y268" s="1293">
        <v>46339</v>
      </c>
      <c r="Z268" s="1293"/>
      <c r="AA268" s="1294">
        <f>WEEKNUM(ESS_DATA[[#This Row],[Pick-Up Date]])</f>
        <v>0</v>
      </c>
      <c r="AB268" s="1289"/>
      <c r="AC268" s="1277"/>
      <c r="AD268" s="1289" t="s">
        <v>122</v>
      </c>
      <c r="AE268" s="314" t="s">
        <v>122</v>
      </c>
      <c r="AF268" s="1289"/>
      <c r="AG268" s="1293"/>
      <c r="AH268" s="1293"/>
      <c r="AI268" s="1293"/>
      <c r="AJ268" s="1293"/>
      <c r="AK268" s="1293"/>
      <c r="AL268" s="1293"/>
      <c r="AM268" s="323"/>
      <c r="AN268" s="1293"/>
      <c r="AO268" s="1293"/>
      <c r="AP268" s="1293"/>
      <c r="AQ268" s="1289"/>
      <c r="AR268" s="1289"/>
      <c r="AS268" s="1289">
        <f>ESS_DATA[[#This Row],[ETA On S/O]]-ESS_DATA[[#This Row],[ETD On S/O]]+1</f>
        <v>1</v>
      </c>
      <c r="AT268" s="1289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95" t="str">
        <f>IF(ISERROR(ESS_DATA[[#This Row],[New Ark PO status]]),"",_xlfn.XLOOKUP(ESS_DATA[[#This Row],[SPTN-PVHK New Ark PO'#]],New_Ark_Data[Purchase order Number],New_Ark_Data[Estimated time of arrival],"",0))</f>
        <v/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1293">
        <f>IFERROR(ESS_DATA[[#This Row],[ODP ETA Port]]+ESS_DATA[[#This Row],[Customs/Leg3 Assumption]],"n/a")</f>
        <v>14</v>
      </c>
      <c r="AZ268" s="1296">
        <f>YEAR(ESS_DATA[[#This Row],[ETA for New Ark update]])</f>
        <v>1900</v>
      </c>
      <c r="BA268" s="1296">
        <f>MONTH(ESS_DATA[[#This Row],[ETA for New Ark update]])</f>
        <v>1</v>
      </c>
      <c r="BB268" s="1296">
        <f>IFERROR(_xlfn.ISOWEEKNUM(ESS_DATA[[#This Row],[ETA for New Ark update]]),0)</f>
        <v>2</v>
      </c>
      <c r="BC268" s="1296">
        <f>_xlfn.XLOOKUP(ESS_DATA[[#This Row],[PORT DESTINATION]],Table12[PORT DESTINATION],Table12[Cosco Line],,0)</f>
        <v>0</v>
      </c>
      <c r="BD268" s="1296"/>
      <c r="BE268" s="324"/>
      <c r="BF268" s="324"/>
      <c r="BG268" s="324"/>
      <c r="BH268" s="324"/>
      <c r="BI268" s="324"/>
    </row>
    <row r="269" spans="1:61" s="1297" customFormat="1" ht="16.5" customHeight="1">
      <c r="A269" s="1288" t="s">
        <v>7732</v>
      </c>
      <c r="B269" s="1289" t="s">
        <v>7068</v>
      </c>
      <c r="C269" s="1277" t="str">
        <f>IFERROR(LEFT(ESS_DATA[[#This Row],[TCL REFERENCE]],FIND(".",ESS_DATA[[#This Row],[TCL REFERENCE]],1)-1),"Main Line")</f>
        <v>26NOV004</v>
      </c>
      <c r="D269" s="1277" t="s">
        <v>63</v>
      </c>
      <c r="E269" s="162" t="s">
        <v>64</v>
      </c>
      <c r="F269" s="82"/>
      <c r="G269" s="1277"/>
      <c r="H269" s="31"/>
      <c r="I269" s="163"/>
      <c r="J269" s="1277"/>
      <c r="K269" s="1277"/>
      <c r="L269" s="1278"/>
      <c r="M269" s="1279"/>
      <c r="N269" s="1290" t="s">
        <v>7094</v>
      </c>
      <c r="O269" s="1290" t="s">
        <v>7291</v>
      </c>
      <c r="P269" s="1290" t="s">
        <v>7096</v>
      </c>
      <c r="Q269" s="1291"/>
      <c r="R269" s="1292">
        <v>130</v>
      </c>
      <c r="S269" s="1282"/>
      <c r="T269" s="1277"/>
      <c r="U269" s="325">
        <f>ESS_DATA[[#This Row],[QUANTITY]]/260</f>
        <v>0.5</v>
      </c>
      <c r="V269" s="409" t="s">
        <v>7430</v>
      </c>
      <c r="W269" s="1289" t="s">
        <v>7731</v>
      </c>
      <c r="X269" s="317" t="str">
        <f t="shared" si="24"/>
        <v/>
      </c>
      <c r="Y269" s="1293">
        <v>46339</v>
      </c>
      <c r="Z269" s="1293"/>
      <c r="AA269" s="1294">
        <f>WEEKNUM(ESS_DATA[[#This Row],[Pick-Up Date]])</f>
        <v>0</v>
      </c>
      <c r="AB269" s="1289"/>
      <c r="AC269" s="1277"/>
      <c r="AD269" s="1289" t="s">
        <v>122</v>
      </c>
      <c r="AE269" s="314" t="s">
        <v>122</v>
      </c>
      <c r="AF269" s="1289"/>
      <c r="AG269" s="1293"/>
      <c r="AH269" s="1293"/>
      <c r="AI269" s="1293"/>
      <c r="AJ269" s="1293"/>
      <c r="AK269" s="1293"/>
      <c r="AL269" s="1293"/>
      <c r="AM269" s="323"/>
      <c r="AN269" s="1293"/>
      <c r="AO269" s="1293"/>
      <c r="AP269" s="1293"/>
      <c r="AQ269" s="1289"/>
      <c r="AR269" s="1289"/>
      <c r="AS269" s="1289">
        <f>ESS_DATA[[#This Row],[ETA On S/O]]-ESS_DATA[[#This Row],[ETD On S/O]]+1</f>
        <v>1</v>
      </c>
      <c r="AT269" s="1289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95" t="str">
        <f>IF(ISERROR(ESS_DATA[[#This Row],[New Ark PO status]]),"",_xlfn.XLOOKUP(ESS_DATA[[#This Row],[SPTN-PVHK New Ark PO'#]],New_Ark_Data[Purchase order Number],New_Ark_Data[Estimated time of arrival],"",0))</f>
        <v/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1293">
        <f>IFERROR(ESS_DATA[[#This Row],[ODP ETA Port]]+ESS_DATA[[#This Row],[Customs/Leg3 Assumption]],"n/a")</f>
        <v>14</v>
      </c>
      <c r="AZ269" s="1296">
        <f>YEAR(ESS_DATA[[#This Row],[ETA for New Ark update]])</f>
        <v>1900</v>
      </c>
      <c r="BA269" s="1296">
        <f>MONTH(ESS_DATA[[#This Row],[ETA for New Ark update]])</f>
        <v>1</v>
      </c>
      <c r="BB269" s="1296">
        <f>IFERROR(_xlfn.ISOWEEKNUM(ESS_DATA[[#This Row],[ETA for New Ark update]]),0)</f>
        <v>2</v>
      </c>
      <c r="BC269" s="1296">
        <f>_xlfn.XLOOKUP(ESS_DATA[[#This Row],[PORT DESTINATION]],Table12[PORT DESTINATION],Table12[Cosco Line],,0)</f>
        <v>0</v>
      </c>
      <c r="BD269" s="1296"/>
      <c r="BE269" s="324"/>
      <c r="BF269" s="324"/>
      <c r="BG269" s="324"/>
      <c r="BH269" s="324"/>
      <c r="BI269" s="324"/>
    </row>
    <row r="270" spans="1:61" s="1297" customFormat="1" ht="16.5" customHeight="1">
      <c r="A270" s="1288" t="s">
        <v>7733</v>
      </c>
      <c r="B270" s="1289" t="s">
        <v>7068</v>
      </c>
      <c r="C270" s="1277" t="str">
        <f>IFERROR(LEFT(ESS_DATA[[#This Row],[TCL REFERENCE]],FIND(".",ESS_DATA[[#This Row],[TCL REFERENCE]],1)-1),"Main Line")</f>
        <v>26NOV005</v>
      </c>
      <c r="D270" s="1277" t="s">
        <v>63</v>
      </c>
      <c r="E270" s="162" t="s">
        <v>64</v>
      </c>
      <c r="F270" s="82"/>
      <c r="G270" s="1277"/>
      <c r="H270" s="31"/>
      <c r="I270" s="163"/>
      <c r="J270" s="1277"/>
      <c r="K270" s="1277"/>
      <c r="L270" s="1278"/>
      <c r="M270" s="1279"/>
      <c r="N270" s="1290" t="s">
        <v>7105</v>
      </c>
      <c r="O270" s="1290" t="s">
        <v>7106</v>
      </c>
      <c r="P270" s="1290" t="s">
        <v>7107</v>
      </c>
      <c r="Q270" s="1291"/>
      <c r="R270" s="1292">
        <v>528</v>
      </c>
      <c r="S270" s="1282"/>
      <c r="T270" s="1277"/>
      <c r="U270" s="325">
        <f>ESS_DATA[[#This Row],[QUANTITY]]/276</f>
        <v>1.9130434782608696</v>
      </c>
      <c r="V270" s="409" t="s">
        <v>7734</v>
      </c>
      <c r="W270" s="1289" t="s">
        <v>7673</v>
      </c>
      <c r="X270" s="317" t="str">
        <f t="shared" ref="X270:X271" si="25">IF(AL270&lt;&gt;"","COMPLETED",IF(AI270&lt;&gt;"","IN-TRANSIT",""))</f>
        <v/>
      </c>
      <c r="Y270" s="1293">
        <v>46323</v>
      </c>
      <c r="Z270" s="1293"/>
      <c r="AA270" s="1294">
        <f>WEEKNUM(ESS_DATA[[#This Row],[Pick-Up Date]])</f>
        <v>0</v>
      </c>
      <c r="AB270" s="1289"/>
      <c r="AC270" s="1277"/>
      <c r="AD270" s="1289" t="s">
        <v>122</v>
      </c>
      <c r="AE270" s="314" t="s">
        <v>122</v>
      </c>
      <c r="AF270" s="1289"/>
      <c r="AG270" s="1293"/>
      <c r="AH270" s="1293"/>
      <c r="AI270" s="1293"/>
      <c r="AJ270" s="1293"/>
      <c r="AK270" s="1293"/>
      <c r="AL270" s="1293"/>
      <c r="AM270" s="323"/>
      <c r="AN270" s="1293"/>
      <c r="AO270" s="1293"/>
      <c r="AP270" s="1293"/>
      <c r="AQ270" s="1289"/>
      <c r="AR270" s="1289"/>
      <c r="AS270" s="1289">
        <f>ESS_DATA[[#This Row],[ETA On S/O]]-ESS_DATA[[#This Row],[ETD On S/O]]+1</f>
        <v>1</v>
      </c>
      <c r="AT270" s="1289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95" t="str">
        <f>IF(ISERROR(ESS_DATA[[#This Row],[New Ark PO status]]),"",_xlfn.XLOOKUP(ESS_DATA[[#This Row],[SPTN-PVHK New Ark PO'#]],New_Ark_Data[Purchase order Number],New_Ark_Data[Estimated time of arrival],"",0))</f>
        <v/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1293">
        <f>IFERROR(ESS_DATA[[#This Row],[ODP ETA Port]]+ESS_DATA[[#This Row],[Customs/Leg3 Assumption]],"n/a")</f>
        <v>14</v>
      </c>
      <c r="AZ270" s="1296">
        <f>YEAR(ESS_DATA[[#This Row],[ETA for New Ark update]])</f>
        <v>1900</v>
      </c>
      <c r="BA270" s="1296">
        <f>MONTH(ESS_DATA[[#This Row],[ETA for New Ark update]])</f>
        <v>1</v>
      </c>
      <c r="BB270" s="1296">
        <f>IFERROR(_xlfn.ISOWEEKNUM(ESS_DATA[[#This Row],[ETA for New Ark update]]),0)</f>
        <v>2</v>
      </c>
      <c r="BC270" s="1296">
        <f>_xlfn.XLOOKUP(ESS_DATA[[#This Row],[PORT DESTINATION]],Table12[PORT DESTINATION],Table12[Cosco Line],,0)</f>
        <v>0</v>
      </c>
      <c r="BD270" s="1296"/>
      <c r="BE270" s="324"/>
      <c r="BF270" s="324"/>
      <c r="BG270" s="324"/>
      <c r="BH270" s="324"/>
      <c r="BI270" s="324"/>
    </row>
    <row r="271" spans="1:61" s="1297" customFormat="1" ht="16.5" customHeight="1">
      <c r="A271" s="1288" t="s">
        <v>7735</v>
      </c>
      <c r="B271" s="1289" t="s">
        <v>7068</v>
      </c>
      <c r="C271" s="1277" t="str">
        <f>IFERROR(LEFT(ESS_DATA[[#This Row],[TCL REFERENCE]],FIND(".",ESS_DATA[[#This Row],[TCL REFERENCE]],1)-1),"Main Line")</f>
        <v>Main Line</v>
      </c>
      <c r="D271" s="1277" t="s">
        <v>63</v>
      </c>
      <c r="E271" s="162" t="s">
        <v>64</v>
      </c>
      <c r="F271" s="82"/>
      <c r="G271" s="1277"/>
      <c r="H271" s="31"/>
      <c r="I271" s="163"/>
      <c r="J271" s="1277"/>
      <c r="K271" s="1277"/>
      <c r="L271" s="1278"/>
      <c r="M271" s="1279"/>
      <c r="N271" s="1290" t="s">
        <v>7105</v>
      </c>
      <c r="O271" s="1290" t="s">
        <v>7106</v>
      </c>
      <c r="P271" s="1290" t="s">
        <v>7107</v>
      </c>
      <c r="Q271" s="1291"/>
      <c r="R271" s="1292">
        <v>24</v>
      </c>
      <c r="S271" s="1282"/>
      <c r="T271" s="1277"/>
      <c r="U271" s="325">
        <f>ESS_DATA[[#This Row],[QUANTITY]]/276</f>
        <v>8.6956521739130432E-2</v>
      </c>
      <c r="V271" s="409" t="s">
        <v>7734</v>
      </c>
      <c r="W271" s="1289" t="s">
        <v>7673</v>
      </c>
      <c r="X271" s="317" t="str">
        <f t="shared" si="25"/>
        <v/>
      </c>
      <c r="Y271" s="1293">
        <v>46323</v>
      </c>
      <c r="Z271" s="1293"/>
      <c r="AA271" s="1294">
        <f>WEEKNUM(ESS_DATA[[#This Row],[Pick-Up Date]])</f>
        <v>0</v>
      </c>
      <c r="AB271" s="1289"/>
      <c r="AC271" s="1277"/>
      <c r="AD271" s="1289" t="s">
        <v>122</v>
      </c>
      <c r="AE271" s="314" t="s">
        <v>122</v>
      </c>
      <c r="AF271" s="1289"/>
      <c r="AG271" s="1293"/>
      <c r="AH271" s="1293"/>
      <c r="AI271" s="1293"/>
      <c r="AJ271" s="1293"/>
      <c r="AK271" s="1293"/>
      <c r="AL271" s="1293"/>
      <c r="AM271" s="323"/>
      <c r="AN271" s="1293"/>
      <c r="AO271" s="1293"/>
      <c r="AP271" s="1293"/>
      <c r="AQ271" s="1289"/>
      <c r="AR271" s="1289"/>
      <c r="AS271" s="1289">
        <f>ESS_DATA[[#This Row],[ETA On S/O]]-ESS_DATA[[#This Row],[ETD On S/O]]+1</f>
        <v>1</v>
      </c>
      <c r="AT271" s="1289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95" t="str">
        <f>IF(ISERROR(ESS_DATA[[#This Row],[New Ark PO status]]),"",_xlfn.XLOOKUP(ESS_DATA[[#This Row],[SPTN-PVHK New Ark PO'#]],New_Ark_Data[Purchase order Number],New_Ark_Data[Estimated time of arrival],"",0))</f>
        <v/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1293">
        <f>IFERROR(ESS_DATA[[#This Row],[ODP ETA Port]]+ESS_DATA[[#This Row],[Customs/Leg3 Assumption]],"n/a")</f>
        <v>14</v>
      </c>
      <c r="AZ271" s="1296">
        <f>YEAR(ESS_DATA[[#This Row],[ETA for New Ark update]])</f>
        <v>1900</v>
      </c>
      <c r="BA271" s="1296">
        <f>MONTH(ESS_DATA[[#This Row],[ETA for New Ark update]])</f>
        <v>1</v>
      </c>
      <c r="BB271" s="1296">
        <f>IFERROR(_xlfn.ISOWEEKNUM(ESS_DATA[[#This Row],[ETA for New Ark update]]),0)</f>
        <v>2</v>
      </c>
      <c r="BC271" s="1296">
        <f>_xlfn.XLOOKUP(ESS_DATA[[#This Row],[PORT DESTINATION]],Table12[PORT DESTINATION],Table12[Cosco Line],,0)</f>
        <v>0</v>
      </c>
      <c r="BD271" s="1296"/>
      <c r="BE271" s="324"/>
      <c r="BF271" s="324"/>
      <c r="BG271" s="324"/>
      <c r="BH271" s="324"/>
      <c r="BI271" s="324"/>
    </row>
    <row r="272" spans="1:61" s="1297" customFormat="1" ht="16.5" customHeight="1">
      <c r="A272" s="1288" t="s">
        <v>7736</v>
      </c>
      <c r="B272" s="1289" t="s">
        <v>7068</v>
      </c>
      <c r="C272" s="1277" t="str">
        <f>IFERROR(LEFT(ESS_DATA[[#This Row],[TCL REFERENCE]],FIND(".",ESS_DATA[[#This Row],[TCL REFERENCE]],1)-1),"Main Line")</f>
        <v>26NOV005</v>
      </c>
      <c r="D272" s="1277" t="s">
        <v>63</v>
      </c>
      <c r="E272" s="162" t="s">
        <v>64</v>
      </c>
      <c r="F272" s="82"/>
      <c r="G272" s="1277"/>
      <c r="H272" s="31"/>
      <c r="I272" s="163"/>
      <c r="J272" s="1277"/>
      <c r="K272" s="1277"/>
      <c r="L272" s="1278"/>
      <c r="M272" s="1279"/>
      <c r="N272" s="1290" t="s">
        <v>7105</v>
      </c>
      <c r="O272" s="1290" t="s">
        <v>7106</v>
      </c>
      <c r="P272" s="1290" t="s">
        <v>7107</v>
      </c>
      <c r="Q272" s="1291"/>
      <c r="R272" s="1292">
        <v>276</v>
      </c>
      <c r="S272" s="1282"/>
      <c r="T272" s="1277"/>
      <c r="U272" s="325">
        <f>ESS_DATA[[#This Row],[QUANTITY]]/276</f>
        <v>1</v>
      </c>
      <c r="V272" s="409" t="s">
        <v>7529</v>
      </c>
      <c r="W272" s="1289" t="s">
        <v>7726</v>
      </c>
      <c r="X272" s="317" t="str">
        <f>IF(AL272&lt;&gt;"","COMPLETED",IF(AI272&lt;&gt;"","IN-TRANSIT",""))</f>
        <v/>
      </c>
      <c r="Y272" s="1293">
        <v>46328</v>
      </c>
      <c r="Z272" s="1293"/>
      <c r="AA272" s="1294">
        <f>WEEKNUM(ESS_DATA[[#This Row],[Pick-Up Date]])</f>
        <v>0</v>
      </c>
      <c r="AB272" s="1289"/>
      <c r="AC272" s="1277"/>
      <c r="AD272" s="1289" t="s">
        <v>122</v>
      </c>
      <c r="AE272" s="314" t="s">
        <v>122</v>
      </c>
      <c r="AF272" s="1289"/>
      <c r="AG272" s="1293"/>
      <c r="AH272" s="1293"/>
      <c r="AI272" s="1293"/>
      <c r="AJ272" s="1293"/>
      <c r="AK272" s="1293"/>
      <c r="AL272" s="1293"/>
      <c r="AM272" s="323"/>
      <c r="AN272" s="1293"/>
      <c r="AO272" s="1293"/>
      <c r="AP272" s="1293"/>
      <c r="AQ272" s="1289"/>
      <c r="AR272" s="1289"/>
      <c r="AS272" s="1289">
        <f>ESS_DATA[[#This Row],[ETA On S/O]]-ESS_DATA[[#This Row],[ETD On S/O]]+1</f>
        <v>1</v>
      </c>
      <c r="AT272" s="1289"/>
      <c r="AU272" s="321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95" t="str">
        <f>IF(ISERROR(ESS_DATA[[#This Row],[New Ark PO status]]),"",_xlfn.XLOOKUP(ESS_DATA[[#This Row],[SPTN-PVHK New Ark PO'#]],New_Ark_Data[Purchase order Number],New_Ark_Data[Estimated time of arrival],"",0))</f>
        <v/>
      </c>
      <c r="AX272" s="314">
        <f>IF(ESS_DATA[[#This Row],[New Ark PO Type]]="Offshore",0,IFERROR(VLOOKUP(ESS_DATA[[#This Row],[PORT OF LOADING]]&amp;ESS_DATA[[#This Row],[PORT DESTINATION]],LT_REF[],7,0),14))</f>
        <v>14</v>
      </c>
      <c r="AY272" s="1293">
        <f>IFERROR(ESS_DATA[[#This Row],[ODP ETA Port]]+ESS_DATA[[#This Row],[Customs/Leg3 Assumption]],"n/a")</f>
        <v>14</v>
      </c>
      <c r="AZ272" s="1296">
        <f>YEAR(ESS_DATA[[#This Row],[ETA for New Ark update]])</f>
        <v>1900</v>
      </c>
      <c r="BA272" s="1296">
        <f>MONTH(ESS_DATA[[#This Row],[ETA for New Ark update]])</f>
        <v>1</v>
      </c>
      <c r="BB272" s="1296">
        <f>IFERROR(_xlfn.ISOWEEKNUM(ESS_DATA[[#This Row],[ETA for New Ark update]]),0)</f>
        <v>2</v>
      </c>
      <c r="BC272" s="1296">
        <f>_xlfn.XLOOKUP(ESS_DATA[[#This Row],[PORT DESTINATION]],Table12[PORT DESTINATION],Table12[Cosco Line],,0)</f>
        <v>0</v>
      </c>
      <c r="BD272" s="1296"/>
      <c r="BE272" s="324"/>
      <c r="BF272" s="324"/>
      <c r="BG272" s="324"/>
      <c r="BH272" s="324"/>
      <c r="BI272" s="324"/>
    </row>
    <row r="273" spans="1:61" s="912" customFormat="1" ht="16.5" customHeight="1">
      <c r="A273" s="1276"/>
      <c r="B273" s="1277"/>
      <c r="C273" s="1277"/>
      <c r="D273" s="1277"/>
      <c r="E273" s="162"/>
      <c r="F273" s="82"/>
      <c r="G273" s="1277"/>
      <c r="H273" s="31"/>
      <c r="I273" s="163"/>
      <c r="J273" s="1277"/>
      <c r="K273" s="1277"/>
      <c r="L273" s="1278"/>
      <c r="M273" s="1279"/>
      <c r="N273" s="82"/>
      <c r="O273" s="162"/>
      <c r="P273" s="1277"/>
      <c r="Q273" s="1280"/>
      <c r="R273" s="1281"/>
      <c r="S273" s="1282"/>
      <c r="T273" s="1277"/>
      <c r="U273" s="1283"/>
      <c r="V273" s="373"/>
      <c r="W273" s="1277"/>
      <c r="X273" s="82" t="str">
        <f>IF(AL273&lt;&gt;"","COMPLETED",IF(AI273&lt;&gt;"","IN-TRANSIT",""))</f>
        <v/>
      </c>
      <c r="Y273" s="1284"/>
      <c r="Z273" s="1284"/>
      <c r="AA273" s="1285">
        <f>WEEKNUM(ESS_DATA[[#This Row],[Pick-Up Date]])</f>
        <v>0</v>
      </c>
      <c r="AB273" s="1277"/>
      <c r="AC273" s="1277"/>
      <c r="AD273" s="1277"/>
      <c r="AE273" s="31"/>
      <c r="AF273" s="1277"/>
      <c r="AG273" s="1284"/>
      <c r="AH273" s="1284"/>
      <c r="AI273" s="1284"/>
      <c r="AJ273" s="1284"/>
      <c r="AK273" s="1284"/>
      <c r="AL273" s="1284"/>
      <c r="AM273" s="162"/>
      <c r="AN273" s="1284"/>
      <c r="AO273" s="1284"/>
      <c r="AP273" s="1284"/>
      <c r="AQ273" s="1277"/>
      <c r="AR273" s="1277"/>
      <c r="AS273" s="1277">
        <f>ESS_DATA[[#This Row],[ETA On S/O]]-ESS_DATA[[#This Row],[ETD On S/O]]+1</f>
        <v>1</v>
      </c>
      <c r="AT273" s="1277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86" t="str">
        <f>IF(ISERROR(ESS_DATA[[#This Row],[New Ark PO status]]),"",_xlfn.XLOOKUP(ESS_DATA[[#This Row],[SPTN-PVHK New Ark PO'#]],New_Ark_Data[Purchase order Number],New_Ark_Data[Estimated time of arrival],"",0))</f>
        <v/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1284">
        <f>IFERROR(ESS_DATA[[#This Row],[ODP ETA Port]]+ESS_DATA[[#This Row],[Customs/Leg3 Assumption]],"n/a")</f>
        <v>14</v>
      </c>
      <c r="AZ273" s="1287">
        <f>YEAR(ESS_DATA[[#This Row],[ETA for New Ark update]])</f>
        <v>1900</v>
      </c>
      <c r="BA273" s="1287">
        <f>MONTH(ESS_DATA[[#This Row],[ETA for New Ark update]])</f>
        <v>1</v>
      </c>
      <c r="BB273" s="1287">
        <f>IFERROR(_xlfn.ISOWEEKNUM(ESS_DATA[[#This Row],[ETA for New Ark update]]),0)</f>
        <v>2</v>
      </c>
      <c r="BC273" s="1287">
        <f>_xlfn.XLOOKUP(ESS_DATA[[#This Row],[PORT DESTINATION]],Table12[PORT DESTINATION],Table12[Cosco Line],,0)</f>
        <v>0</v>
      </c>
      <c r="BD273" s="1287"/>
      <c r="BE273" s="337"/>
      <c r="BF273" s="337"/>
      <c r="BG273" s="337"/>
      <c r="BH273" s="337"/>
      <c r="BI273" s="337"/>
    </row>
    <row r="274" spans="1:61" s="912" customFormat="1" ht="16.5" customHeight="1">
      <c r="A274" s="1276"/>
      <c r="B274" s="1277"/>
      <c r="C274" s="1277"/>
      <c r="D274" s="1277"/>
      <c r="E274" s="162"/>
      <c r="F274" s="82"/>
      <c r="G274" s="1277"/>
      <c r="H274" s="31"/>
      <c r="I274" s="163"/>
      <c r="J274" s="1277"/>
      <c r="K274" s="1277"/>
      <c r="L274" s="1278"/>
      <c r="M274" s="1279"/>
      <c r="N274" s="82"/>
      <c r="O274" s="162"/>
      <c r="P274" s="1277"/>
      <c r="Q274" s="1280"/>
      <c r="R274" s="1281"/>
      <c r="S274" s="1282"/>
      <c r="T274" s="1277"/>
      <c r="U274" s="1283"/>
      <c r="V274" s="373"/>
      <c r="W274" s="1277"/>
      <c r="X274" s="82" t="str">
        <f>IF(AL274&lt;&gt;"","COMPLETED",IF(AI274&lt;&gt;"","IN-TRANSIT",""))</f>
        <v/>
      </c>
      <c r="Y274" s="1284"/>
      <c r="Z274" s="1284"/>
      <c r="AA274" s="1285">
        <f>WEEKNUM(ESS_DATA[[#This Row],[Pick-Up Date]])</f>
        <v>0</v>
      </c>
      <c r="AB274" s="1277"/>
      <c r="AC274" s="1277"/>
      <c r="AD274" s="1277"/>
      <c r="AE274" s="31"/>
      <c r="AF274" s="1277"/>
      <c r="AG274" s="1284"/>
      <c r="AH274" s="1284"/>
      <c r="AI274" s="1284"/>
      <c r="AJ274" s="1284"/>
      <c r="AK274" s="1284"/>
      <c r="AL274" s="1284"/>
      <c r="AM274" s="162"/>
      <c r="AN274" s="1284"/>
      <c r="AO274" s="1284"/>
      <c r="AP274" s="1284"/>
      <c r="AQ274" s="1277"/>
      <c r="AR274" s="1277"/>
      <c r="AS274" s="1277">
        <f>ESS_DATA[[#This Row],[ETA On S/O]]-ESS_DATA[[#This Row],[ETD On S/O]]+1</f>
        <v>1</v>
      </c>
      <c r="AT274" s="1277"/>
      <c r="AU274" s="348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86" t="str">
        <f>IF(ISERROR(ESS_DATA[[#This Row],[New Ark PO status]]),"",_xlfn.XLOOKUP(ESS_DATA[[#This Row],[SPTN-PVHK New Ark PO'#]],New_Ark_Data[Purchase order Number],New_Ark_Data[Estimated time of arrival],"",0))</f>
        <v/>
      </c>
      <c r="AX274" s="328">
        <f>IF(ESS_DATA[[#This Row],[New Ark PO Type]]="Offshore",0,IFERROR(VLOOKUP(ESS_DATA[[#This Row],[PORT OF LOADING]]&amp;ESS_DATA[[#This Row],[PORT DESTINATION]],LT_REF[],7,0),14))</f>
        <v>14</v>
      </c>
      <c r="AY274" s="1284">
        <f>IFERROR(ESS_DATA[[#This Row],[ODP ETA Port]]+ESS_DATA[[#This Row],[Customs/Leg3 Assumption]],"n/a")</f>
        <v>14</v>
      </c>
      <c r="AZ274" s="1287">
        <f>YEAR(ESS_DATA[[#This Row],[ETA for New Ark update]])</f>
        <v>1900</v>
      </c>
      <c r="BA274" s="1287">
        <f>MONTH(ESS_DATA[[#This Row],[ETA for New Ark update]])</f>
        <v>1</v>
      </c>
      <c r="BB274" s="1287">
        <f>IFERROR(_xlfn.ISOWEEKNUM(ESS_DATA[[#This Row],[ETA for New Ark update]]),0)</f>
        <v>2</v>
      </c>
      <c r="BC274" s="1287">
        <f>_xlfn.XLOOKUP(ESS_DATA[[#This Row],[PORT DESTINATION]],Table12[PORT DESTINATION],Table12[Cosco Line],,0)</f>
        <v>0</v>
      </c>
      <c r="BD274" s="1287"/>
      <c r="BE274" s="337"/>
      <c r="BF274" s="337"/>
      <c r="BG274" s="337"/>
      <c r="BH274" s="337"/>
      <c r="BI274" s="337"/>
    </row>
    <row r="275" spans="1:61" s="1004" customFormat="1" ht="16.5" customHeight="1">
      <c r="A275" s="33"/>
      <c r="B275" s="31"/>
      <c r="C275" s="31"/>
      <c r="D275" s="31"/>
      <c r="E275" s="162"/>
      <c r="F275" s="82"/>
      <c r="G275" s="31"/>
      <c r="H275" s="31"/>
      <c r="I275" s="163"/>
      <c r="J275" s="31"/>
      <c r="K275" s="31"/>
      <c r="L275" s="268"/>
      <c r="M275" s="212"/>
      <c r="N275" s="31"/>
      <c r="O275" s="162"/>
      <c r="P275" s="31"/>
      <c r="Q275" s="165"/>
      <c r="R275" s="163"/>
      <c r="S275" s="269"/>
      <c r="T275" s="31"/>
      <c r="U275" s="270"/>
      <c r="V275" s="373"/>
      <c r="W275" s="31"/>
      <c r="X275" s="82" t="str">
        <f>IF(AL275&lt;&gt;"","COMPLETED",IF(AI275&lt;&gt;"","IN-TRANSIT",""))</f>
        <v/>
      </c>
      <c r="Y275" s="30"/>
      <c r="Z275" s="30"/>
      <c r="AA275" s="166">
        <f>WEEKNUM(ESS_DATA[[#This Row],[Pick-Up Date]])</f>
        <v>0</v>
      </c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31">
        <f>IF(ESS_DATA[[#This Row],[New Ark PO Type]]="Offshore",0,IFERROR(VLOOKUP(ESS_DATA[[#This Row],[PORT OF LOADING]]&amp;ESS_DATA[[#This Row],[PORT DESTINATION]],LT_REF[],7,0),14))</f>
        <v>14</v>
      </c>
      <c r="AY275" s="30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  <c r="BE275" s="32"/>
      <c r="BF275" s="32"/>
      <c r="BG275" s="32"/>
      <c r="BH275" s="32"/>
      <c r="BI275" s="32"/>
    </row>
    <row r="276" spans="1:61" s="23" customFormat="1" ht="10">
      <c r="A276" s="33"/>
      <c r="B276" s="31"/>
      <c r="C276" s="31"/>
      <c r="D276" s="31"/>
      <c r="E276" s="82"/>
      <c r="F276" s="743"/>
      <c r="G276" s="31"/>
      <c r="H276" s="31"/>
      <c r="I276" s="31"/>
      <c r="J276" s="31"/>
      <c r="K276" s="31"/>
      <c r="L276" s="268"/>
      <c r="M276" s="212"/>
      <c r="N276" s="82"/>
      <c r="O276" s="396"/>
      <c r="P276" s="82"/>
      <c r="Q276" s="273"/>
      <c r="R276" s="163"/>
      <c r="S276" s="269"/>
      <c r="T276" s="31"/>
      <c r="U276" s="270"/>
      <c r="V276" s="373"/>
      <c r="W276" s="31"/>
      <c r="X276" s="31" t="str">
        <f t="shared" ref="X276:X281" si="26">IF(AL276&lt;&gt;"","COMPLETED",IF(AI276&lt;&gt;"","IN-TRANSIT",""))</f>
        <v/>
      </c>
      <c r="Y276" s="34"/>
      <c r="Z276" s="30"/>
      <c r="AA276" s="166"/>
      <c r="AB276" s="31"/>
      <c r="AC276" s="31"/>
      <c r="AD276" s="31"/>
      <c r="AE276" s="31"/>
      <c r="AF276" s="31"/>
      <c r="AG276" s="30"/>
      <c r="AH276" s="30"/>
      <c r="AI276" s="30"/>
      <c r="AJ276" s="30"/>
      <c r="AK276" s="30"/>
      <c r="AL276" s="30"/>
      <c r="AM276" s="162"/>
      <c r="AN276" s="30"/>
      <c r="AO276" s="30"/>
      <c r="AP276" s="30"/>
      <c r="AQ276" s="31"/>
      <c r="AR276" s="31"/>
      <c r="AS276" s="31">
        <f>ESS_DATA[[#This Row],[ETA On S/O]]-ESS_DATA[[#This Row],[ETD On S/O]]+1</f>
        <v>1</v>
      </c>
      <c r="AT276" s="31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>
      <c r="A277" s="82">
        <v>202509</v>
      </c>
      <c r="B277" s="294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7737</v>
      </c>
      <c r="O277" s="147" t="s">
        <v>7738</v>
      </c>
      <c r="P277" s="147" t="s">
        <v>7739</v>
      </c>
      <c r="Q277" s="160">
        <v>5000</v>
      </c>
      <c r="R277" s="163">
        <v>131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>
      <c r="A278" s="82">
        <v>202509</v>
      </c>
      <c r="B278" s="216"/>
      <c r="C278" s="82"/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7740</v>
      </c>
      <c r="O278" s="147" t="s">
        <v>7738</v>
      </c>
      <c r="P278" s="147" t="s">
        <v>7741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/>
    </row>
    <row r="279" spans="1:61" s="23" customFormat="1" ht="10">
      <c r="A279" s="82">
        <v>202510</v>
      </c>
      <c r="B279" s="216" t="s">
        <v>7742</v>
      </c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7740</v>
      </c>
      <c r="O279" s="147" t="s">
        <v>7738</v>
      </c>
      <c r="P279" s="147" t="s">
        <v>7741</v>
      </c>
      <c r="Q279" s="160">
        <v>12000</v>
      </c>
      <c r="R279" s="163">
        <v>100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 t="s">
        <v>7743</v>
      </c>
    </row>
    <row r="280" spans="1:61" s="23" customFormat="1" ht="10">
      <c r="A280" s="82" t="s">
        <v>7744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7745</v>
      </c>
      <c r="O280" s="147" t="s">
        <v>7746</v>
      </c>
      <c r="P280" s="147" t="s">
        <v>7747</v>
      </c>
      <c r="Q280" s="160"/>
      <c r="R280" s="163">
        <v>36</v>
      </c>
      <c r="S280" s="260"/>
      <c r="T280" s="82"/>
      <c r="U280" s="300"/>
      <c r="V280" s="373"/>
      <c r="W280" s="147" t="s">
        <v>68</v>
      </c>
      <c r="X280" s="147" t="str">
        <f t="shared" si="26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82"/>
    </row>
    <row r="281" spans="1:61" s="23" customFormat="1" ht="10">
      <c r="A281" s="82" t="s">
        <v>7744</v>
      </c>
      <c r="B281" s="216"/>
      <c r="C281" s="82" t="str">
        <f>IFERROR(LEFT(ESS_DATA[[#This Row],[TCL REFERENCE]],FIND(".",ESS_DATA[[#This Row],[TCL REFERENCE]],1)-1),"Main Line")</f>
        <v>Main Line</v>
      </c>
      <c r="D281" s="82"/>
      <c r="E281" s="160" t="s">
        <v>68</v>
      </c>
      <c r="F281" s="160" t="s">
        <v>68</v>
      </c>
      <c r="G281" s="82"/>
      <c r="H281" s="12"/>
      <c r="I281" s="82"/>
      <c r="J281" s="82" t="s">
        <v>949</v>
      </c>
      <c r="K281" s="82"/>
      <c r="L281" s="79"/>
      <c r="M281" s="218"/>
      <c r="N281" s="147" t="s">
        <v>7748</v>
      </c>
      <c r="O281" s="147" t="s">
        <v>7746</v>
      </c>
      <c r="P281" s="147" t="s">
        <v>7749</v>
      </c>
      <c r="Q281" s="160"/>
      <c r="R281" s="163">
        <v>52</v>
      </c>
      <c r="S281" s="260"/>
      <c r="T281" s="82"/>
      <c r="U281" s="300"/>
      <c r="V281" s="373"/>
      <c r="W281" s="147" t="s">
        <v>68</v>
      </c>
      <c r="X281" s="147" t="str">
        <f t="shared" si="26"/>
        <v/>
      </c>
      <c r="Y281" s="161"/>
      <c r="Z281" s="162"/>
      <c r="AA281" s="163">
        <f>WEEKNUM(ESS_DATA[[#This Row],[Pick-Up Date]])</f>
        <v>0</v>
      </c>
      <c r="AB281" s="82"/>
      <c r="AC281" s="82"/>
      <c r="AD281" s="147" t="s">
        <v>122</v>
      </c>
      <c r="AE281" s="12" t="s">
        <v>123</v>
      </c>
      <c r="AF281" s="31"/>
      <c r="AG281" s="162"/>
      <c r="AH281" s="162"/>
      <c r="AI281" s="162"/>
      <c r="AJ281" s="162"/>
      <c r="AK281" s="162"/>
      <c r="AL281" s="162"/>
      <c r="AM281" s="162"/>
      <c r="AN281" s="162"/>
      <c r="AO281" s="162"/>
      <c r="AP281" s="162"/>
      <c r="AQ281" s="82"/>
      <c r="AR281" s="82"/>
      <c r="AS281" s="82">
        <f>ESS_DATA[[#This Row],[ETA On S/O]]-ESS_DATA[[#This Row],[ETD On S/O]]+1</f>
        <v>1</v>
      </c>
      <c r="AT281" s="82"/>
      <c r="AU281" s="348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4" t="str">
        <f>IF(ISERROR(ESS_DATA[[#This Row],[New Ark PO status]]),"",_xlfn.XLOOKUP(ESS_DATA[[#This Row],[SPTN-PVHK New Ark PO'#]],New_Ark_Data[Purchase order Number],New_Ark_Data[Estimated time of arrival],"",0))</f>
        <v/>
      </c>
      <c r="AX281" s="12">
        <f>IF(ESS_DATA[[#This Row],[New Ark PO Type]]="Offshore",0,IFERROR(VLOOKUP(ESS_DATA[[#This Row],[PORT OF LOADING]]&amp;ESS_DATA[[#This Row],[PORT DESTINATION]],LT_REF[],7,0),14))</f>
        <v>14</v>
      </c>
      <c r="AY281" s="14">
        <f>IFERROR(ESS_DATA[[#This Row],[ODP ETA Port]]+ESS_DATA[[#This Row],[Customs/Leg3 Assumption]],"n/a")</f>
        <v>14</v>
      </c>
      <c r="AZ281" s="82">
        <f>YEAR(ESS_DATA[[#This Row],[ETA for New Ark update]])</f>
        <v>1900</v>
      </c>
      <c r="BA281" s="82">
        <f>MONTH(ESS_DATA[[#This Row],[ETA for New Ark update]])</f>
        <v>1</v>
      </c>
      <c r="BB281" s="82">
        <f>IFERROR(_xlfn.ISOWEEKNUM(ESS_DATA[[#This Row],[ETA for New Ark update]]),0)</f>
        <v>2</v>
      </c>
      <c r="BC281" s="82">
        <f>_xlfn.XLOOKUP(ESS_DATA[[#This Row],[PORT DESTINATION]],Table12[PORT DESTINATION],Table12[Cosco Line],,0)</f>
        <v>0</v>
      </c>
      <c r="BD281" s="16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1.25" customHeight="1">
      <c r="A285" s="5"/>
      <c r="B285"/>
      <c r="C285" s="5"/>
      <c r="F285" s="5"/>
      <c r="H285" s="5"/>
      <c r="I285" s="5"/>
      <c r="J285" s="5"/>
      <c r="L285"/>
      <c r="M285" s="5"/>
      <c r="N285" s="5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3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3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1.25" customHeight="1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3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3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 ht="11.25" customHeight="1">
      <c r="A294" s="5"/>
      <c r="B294"/>
      <c r="C294" s="5"/>
      <c r="F294" s="5"/>
      <c r="H294" s="5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374"/>
      <c r="Z294" s="302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0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0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1.25" customHeight="1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0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1.25" customHeight="1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0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7:25" ht="11.25" customHeight="1">
      <c r="G332" s="21"/>
      <c r="K332" s="21"/>
      <c r="L332" s="5"/>
      <c r="O332" s="5"/>
    </row>
    <row r="333" spans="7:25" ht="11.25" customHeight="1">
      <c r="G333" s="21"/>
      <c r="K333" s="21"/>
      <c r="L333" s="5"/>
      <c r="O333" s="5"/>
    </row>
  </sheetData>
  <sheetProtection formatCells="0" formatColumns="0" insertColumns="0" insertRows="0"/>
  <phoneticPr fontId="0" type="noConversion"/>
  <conditionalFormatting sqref="A1">
    <cfRule type="duplicateValues" dxfId="39" priority="3"/>
  </conditionalFormatting>
  <conditionalFormatting sqref="A276:A281 A2:A142">
    <cfRule type="duplicateValues" dxfId="38" priority="4530"/>
  </conditionalFormatting>
  <conditionalFormatting sqref="M1:N170 M174:N225 M226:M230 M231:N281">
    <cfRule type="cellIs" dxfId="37" priority="1" operator="equal">
      <formula>"No"</formula>
    </cfRule>
    <cfRule type="cellIs" dxfId="36" priority="2" operator="equal">
      <formula>"Yes"</formula>
    </cfRule>
  </conditionalFormatting>
  <conditionalFormatting sqref="N282:N1048576">
    <cfRule type="cellIs" dxfId="35" priority="10" operator="equal">
      <formula>"Yes"</formula>
    </cfRule>
    <cfRule type="cellIs" dxfId="34" priority="11" operator="equal">
      <formula>"No"</formula>
    </cfRule>
  </conditionalFormatting>
  <dataValidations count="1">
    <dataValidation allowBlank="1" showInputMessage="1" showErrorMessage="1" sqref="AX140:BE145 AV282:BA683 F277:F281 BB282:XFD887 BE143:XFD145 BF140:XFD142 A276:A281 R276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AC181:AU184 J176:J180 K175:N180 B175:F180 AB171:AB173 G276:J281 K276:N276 G239:I239 AB142:AB148 N1:O23 P1:AT13 P28:T29 P14:U20 P23:R23 N27:P30 AB166 W90:AA166 AX1:XFD139 G176:G238 W185:AL186 AC146:AU173 AM185:AU245 Y167:AA173 W174:AU180 AC90:AR145 F223:F230 AV1:AW281 S185:T276 AX146:XFD281 AD246:AE281 Q185:Q276 G240:G275 AS253:AU281 N231:N275 AG253:AR276 W273 X273:AC274 W275:AC276 AF253:AF281 AF246:AU252 B181:E281 J181:M275 N181:N225 W187:AC272 Q181:AA184 AD187:AL245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7750</v>
      </c>
      <c r="B1" s="221">
        <v>46261</v>
      </c>
    </row>
    <row r="3" spans="1:10" ht="35">
      <c r="B3" s="48" t="s">
        <v>7751</v>
      </c>
      <c r="C3" s="1091" t="s">
        <v>7752</v>
      </c>
      <c r="D3" s="48" t="s">
        <v>7753</v>
      </c>
      <c r="E3" s="1091" t="s">
        <v>7754</v>
      </c>
      <c r="F3" s="1091" t="s">
        <v>7755</v>
      </c>
      <c r="G3" s="1091" t="s">
        <v>7756</v>
      </c>
      <c r="H3" s="48" t="s">
        <v>7757</v>
      </c>
      <c r="I3" s="285" t="s">
        <v>7758</v>
      </c>
      <c r="J3" s="1262" t="s">
        <v>7759</v>
      </c>
    </row>
    <row r="4" spans="1:10" ht="14.5">
      <c r="B4" s="47" t="s">
        <v>7760</v>
      </c>
      <c r="C4" s="47" t="s">
        <v>7761</v>
      </c>
      <c r="D4" s="47" t="s">
        <v>7762</v>
      </c>
      <c r="E4" s="47"/>
      <c r="F4" s="47" t="s">
        <v>7763</v>
      </c>
      <c r="G4" s="195">
        <v>46305</v>
      </c>
      <c r="H4" s="47" t="s">
        <v>7764</v>
      </c>
      <c r="I4" s="47" t="s">
        <v>7765</v>
      </c>
      <c r="J4" s="47" t="s">
        <v>5898</v>
      </c>
    </row>
    <row r="5" spans="1:10" ht="14.5">
      <c r="B5" s="47" t="s">
        <v>7766</v>
      </c>
      <c r="C5" s="47" t="s">
        <v>7761</v>
      </c>
      <c r="D5" s="47" t="s">
        <v>7762</v>
      </c>
      <c r="E5" s="47"/>
      <c r="F5" s="47" t="s">
        <v>7763</v>
      </c>
      <c r="G5" s="195">
        <v>46276</v>
      </c>
      <c r="H5" s="47" t="s">
        <v>7764</v>
      </c>
      <c r="I5" s="47" t="s">
        <v>7765</v>
      </c>
      <c r="J5" s="47" t="s">
        <v>5896</v>
      </c>
    </row>
    <row r="6" spans="1:10" ht="14.5">
      <c r="B6" s="47" t="s">
        <v>5888</v>
      </c>
      <c r="C6" s="47" t="s">
        <v>7761</v>
      </c>
      <c r="D6" s="47" t="s">
        <v>7767</v>
      </c>
      <c r="E6" s="47"/>
      <c r="F6" s="47" t="s">
        <v>7763</v>
      </c>
      <c r="G6" s="195">
        <v>46276</v>
      </c>
      <c r="H6" s="47" t="s">
        <v>7764</v>
      </c>
      <c r="I6" s="47" t="s">
        <v>7765</v>
      </c>
      <c r="J6" s="47" t="s">
        <v>5885</v>
      </c>
    </row>
    <row r="7" spans="1:10" ht="14.5">
      <c r="B7" s="47" t="s">
        <v>6532</v>
      </c>
      <c r="C7" s="47" t="s">
        <v>64</v>
      </c>
      <c r="D7" s="47" t="s">
        <v>7768</v>
      </c>
      <c r="E7" s="47" t="s">
        <v>6530</v>
      </c>
      <c r="F7" s="47" t="s">
        <v>7763</v>
      </c>
      <c r="G7" s="195">
        <v>46329</v>
      </c>
      <c r="H7" s="47" t="s">
        <v>7769</v>
      </c>
      <c r="I7" s="47" t="s">
        <v>7765</v>
      </c>
      <c r="J7" s="47" t="s">
        <v>6530</v>
      </c>
    </row>
    <row r="8" spans="1:10" ht="14.5">
      <c r="B8" s="47" t="s">
        <v>6599</v>
      </c>
      <c r="C8" s="47" t="s">
        <v>64</v>
      </c>
      <c r="D8" s="47" t="s">
        <v>7770</v>
      </c>
      <c r="E8" s="47" t="s">
        <v>6598</v>
      </c>
      <c r="F8" s="47" t="s">
        <v>7763</v>
      </c>
      <c r="G8" s="195">
        <v>46342</v>
      </c>
      <c r="H8" s="47" t="s">
        <v>7769</v>
      </c>
      <c r="I8" s="47" t="s">
        <v>7765</v>
      </c>
      <c r="J8" s="47" t="s">
        <v>6598</v>
      </c>
    </row>
    <row r="9" spans="1:10" ht="14.5">
      <c r="B9" s="47" t="s">
        <v>6564</v>
      </c>
      <c r="C9" s="47" t="s">
        <v>64</v>
      </c>
      <c r="D9" s="47" t="s">
        <v>7771</v>
      </c>
      <c r="E9" s="47" t="s">
        <v>6563</v>
      </c>
      <c r="F9" s="47" t="s">
        <v>7763</v>
      </c>
      <c r="G9" s="195">
        <v>46314</v>
      </c>
      <c r="H9" s="47" t="s">
        <v>7769</v>
      </c>
      <c r="I9" s="47" t="s">
        <v>7765</v>
      </c>
      <c r="J9" s="47" t="s">
        <v>6563</v>
      </c>
    </row>
    <row r="10" spans="1:10" ht="14.5">
      <c r="B10" s="47" t="s">
        <v>6288</v>
      </c>
      <c r="C10" s="47" t="s">
        <v>64</v>
      </c>
      <c r="D10" s="47" t="s">
        <v>7772</v>
      </c>
      <c r="E10" s="47" t="s">
        <v>6286</v>
      </c>
      <c r="F10" s="47" t="s">
        <v>7763</v>
      </c>
      <c r="G10" s="195">
        <v>46314</v>
      </c>
      <c r="H10" s="47" t="s">
        <v>7769</v>
      </c>
      <c r="I10" s="47" t="s">
        <v>7765</v>
      </c>
      <c r="J10" s="47" t="s">
        <v>6286</v>
      </c>
    </row>
    <row r="11" spans="1:10" ht="14.5">
      <c r="B11" s="47" t="s">
        <v>6282</v>
      </c>
      <c r="C11" s="47" t="s">
        <v>7761</v>
      </c>
      <c r="D11" s="47" t="s">
        <v>7773</v>
      </c>
      <c r="E11" s="47" t="s">
        <v>6278</v>
      </c>
      <c r="F11" s="47" t="s">
        <v>7763</v>
      </c>
      <c r="G11" s="195">
        <v>46307</v>
      </c>
      <c r="H11" s="47" t="s">
        <v>7764</v>
      </c>
      <c r="I11" s="47" t="s">
        <v>7765</v>
      </c>
      <c r="J11" s="47" t="s">
        <v>6278</v>
      </c>
    </row>
    <row r="12" spans="1:10" ht="14.5">
      <c r="B12" s="47" t="s">
        <v>6594</v>
      </c>
      <c r="C12" s="47" t="s">
        <v>64</v>
      </c>
      <c r="D12" s="47" t="s">
        <v>7774</v>
      </c>
      <c r="E12" s="47" t="s">
        <v>6593</v>
      </c>
      <c r="F12" s="47" t="s">
        <v>7763</v>
      </c>
      <c r="G12" s="195">
        <v>46342</v>
      </c>
      <c r="H12" s="47" t="s">
        <v>7769</v>
      </c>
      <c r="I12" s="47" t="s">
        <v>7765</v>
      </c>
      <c r="J12" s="47" t="s">
        <v>6593</v>
      </c>
    </row>
    <row r="13" spans="1:10" ht="14.5">
      <c r="B13" s="47" t="s">
        <v>6586</v>
      </c>
      <c r="C13" s="47" t="s">
        <v>64</v>
      </c>
      <c r="D13" s="47" t="s">
        <v>7775</v>
      </c>
      <c r="E13" s="47" t="s">
        <v>6584</v>
      </c>
      <c r="F13" s="47" t="s">
        <v>7763</v>
      </c>
      <c r="G13" s="195">
        <v>46343</v>
      </c>
      <c r="H13" s="47" t="s">
        <v>7769</v>
      </c>
      <c r="I13" s="47" t="s">
        <v>7765</v>
      </c>
      <c r="J13" s="47" t="s">
        <v>6584</v>
      </c>
    </row>
    <row r="14" spans="1:10" ht="14.5">
      <c r="B14" s="47" t="s">
        <v>6590</v>
      </c>
      <c r="C14" s="47" t="s">
        <v>64</v>
      </c>
      <c r="D14" s="47" t="s">
        <v>7776</v>
      </c>
      <c r="E14" s="47" t="s">
        <v>6589</v>
      </c>
      <c r="F14" s="47" t="s">
        <v>7763</v>
      </c>
      <c r="G14" s="195">
        <v>46346</v>
      </c>
      <c r="H14" s="47" t="s">
        <v>7769</v>
      </c>
      <c r="I14" s="47" t="s">
        <v>7765</v>
      </c>
      <c r="J14" s="47" t="s">
        <v>6589</v>
      </c>
    </row>
    <row r="15" spans="1:10" ht="14.5">
      <c r="B15" s="47" t="s">
        <v>6527</v>
      </c>
      <c r="C15" s="47" t="s">
        <v>64</v>
      </c>
      <c r="D15" s="47" t="s">
        <v>7777</v>
      </c>
      <c r="E15" s="47" t="s">
        <v>6526</v>
      </c>
      <c r="F15" s="47" t="s">
        <v>7763</v>
      </c>
      <c r="G15" s="195">
        <v>46329</v>
      </c>
      <c r="H15" s="47" t="s">
        <v>7769</v>
      </c>
      <c r="I15" s="47" t="s">
        <v>7765</v>
      </c>
      <c r="J15" s="47" t="s">
        <v>6526</v>
      </c>
    </row>
    <row r="16" spans="1:10" ht="14.5">
      <c r="B16" s="47" t="s">
        <v>6491</v>
      </c>
      <c r="C16" s="47" t="s">
        <v>7761</v>
      </c>
      <c r="D16" s="47" t="s">
        <v>7778</v>
      </c>
      <c r="E16" s="47" t="s">
        <v>6488</v>
      </c>
      <c r="F16" s="47" t="s">
        <v>7763</v>
      </c>
      <c r="G16" s="195">
        <v>46314</v>
      </c>
      <c r="H16" s="47" t="s">
        <v>7764</v>
      </c>
      <c r="I16" s="47" t="s">
        <v>7765</v>
      </c>
      <c r="J16" s="47" t="s">
        <v>6488</v>
      </c>
    </row>
    <row r="17" spans="2:10" ht="14.5">
      <c r="B17" s="47" t="s">
        <v>6297</v>
      </c>
      <c r="C17" s="47" t="s">
        <v>7761</v>
      </c>
      <c r="D17" s="47" t="s">
        <v>7779</v>
      </c>
      <c r="E17" s="47" t="s">
        <v>6295</v>
      </c>
      <c r="F17" s="47" t="s">
        <v>7763</v>
      </c>
      <c r="G17" s="195">
        <v>46311</v>
      </c>
      <c r="H17" s="47" t="s">
        <v>7764</v>
      </c>
      <c r="I17" s="47" t="s">
        <v>7765</v>
      </c>
      <c r="J17" s="47" t="s">
        <v>6295</v>
      </c>
    </row>
    <row r="18" spans="2:10" ht="14.5">
      <c r="B18" s="47" t="s">
        <v>6579</v>
      </c>
      <c r="C18" s="47" t="s">
        <v>64</v>
      </c>
      <c r="D18" s="47" t="s">
        <v>7780</v>
      </c>
      <c r="E18" s="47" t="s">
        <v>6578</v>
      </c>
      <c r="F18" s="47" t="s">
        <v>7763</v>
      </c>
      <c r="G18" s="195">
        <v>46321</v>
      </c>
      <c r="H18" s="47" t="s">
        <v>7769</v>
      </c>
      <c r="I18" s="47" t="s">
        <v>7765</v>
      </c>
      <c r="J18" s="47" t="s">
        <v>6578</v>
      </c>
    </row>
    <row r="19" spans="2:10" ht="14.5">
      <c r="B19" s="1097" t="s">
        <v>6569</v>
      </c>
      <c r="C19" s="1097" t="s">
        <v>64</v>
      </c>
      <c r="D19" s="1097" t="s">
        <v>7781</v>
      </c>
      <c r="E19" s="1097" t="s">
        <v>6568</v>
      </c>
      <c r="F19" s="1097" t="s">
        <v>7763</v>
      </c>
      <c r="G19" s="1098">
        <v>46317</v>
      </c>
      <c r="H19" s="1097" t="s">
        <v>7769</v>
      </c>
      <c r="I19" s="1097" t="s">
        <v>7765</v>
      </c>
      <c r="J19" s="1097" t="s">
        <v>6568</v>
      </c>
    </row>
    <row r="20" spans="2:10" ht="14.5">
      <c r="B20" s="47" t="s">
        <v>6574</v>
      </c>
      <c r="C20" s="47" t="s">
        <v>64</v>
      </c>
      <c r="D20" s="47" t="s">
        <v>7782</v>
      </c>
      <c r="E20" s="47" t="s">
        <v>6573</v>
      </c>
      <c r="F20" s="47" t="s">
        <v>7763</v>
      </c>
      <c r="G20" s="195">
        <v>46321</v>
      </c>
      <c r="H20" s="47" t="s">
        <v>7769</v>
      </c>
      <c r="I20" s="47" t="s">
        <v>7765</v>
      </c>
      <c r="J20" s="47" t="s">
        <v>6573</v>
      </c>
    </row>
    <row r="21" spans="2:10" ht="14.5">
      <c r="B21" s="47" t="s">
        <v>6534</v>
      </c>
      <c r="C21" s="47" t="s">
        <v>64</v>
      </c>
      <c r="D21" s="47" t="s">
        <v>7783</v>
      </c>
      <c r="E21" s="47" t="s">
        <v>6533</v>
      </c>
      <c r="F21" s="47" t="s">
        <v>7763</v>
      </c>
      <c r="G21" s="195">
        <v>46311</v>
      </c>
      <c r="H21" s="47" t="s">
        <v>7769</v>
      </c>
      <c r="I21" s="47" t="s">
        <v>7765</v>
      </c>
      <c r="J21" s="47" t="s">
        <v>6533</v>
      </c>
    </row>
    <row r="22" spans="2:10" ht="14.5">
      <c r="B22" s="47" t="s">
        <v>6501</v>
      </c>
      <c r="C22" s="47" t="s">
        <v>64</v>
      </c>
      <c r="D22" s="47" t="s">
        <v>7784</v>
      </c>
      <c r="E22" s="47" t="s">
        <v>6500</v>
      </c>
      <c r="F22" s="47" t="s">
        <v>7763</v>
      </c>
      <c r="G22" s="195">
        <v>46317</v>
      </c>
      <c r="H22" s="47" t="s">
        <v>7769</v>
      </c>
      <c r="I22" s="47" t="s">
        <v>7765</v>
      </c>
      <c r="J22" s="47" t="s">
        <v>6500</v>
      </c>
    </row>
    <row r="23" spans="2:10" ht="14.5">
      <c r="B23" s="47" t="s">
        <v>6427</v>
      </c>
      <c r="C23" s="47" t="s">
        <v>64</v>
      </c>
      <c r="D23" s="47" t="s">
        <v>7785</v>
      </c>
      <c r="E23" s="47" t="s">
        <v>6426</v>
      </c>
      <c r="F23" s="47" t="s">
        <v>7763</v>
      </c>
      <c r="G23" s="195">
        <v>46314</v>
      </c>
      <c r="H23" s="47" t="s">
        <v>7769</v>
      </c>
      <c r="I23" s="47" t="s">
        <v>7765</v>
      </c>
      <c r="J23" s="47" t="s">
        <v>6426</v>
      </c>
    </row>
    <row r="24" spans="2:10" ht="14.5">
      <c r="B24" s="47" t="s">
        <v>6329</v>
      </c>
      <c r="C24" s="47" t="s">
        <v>7761</v>
      </c>
      <c r="D24" s="47" t="s">
        <v>7786</v>
      </c>
      <c r="E24" s="47" t="s">
        <v>6328</v>
      </c>
      <c r="F24" s="47" t="s">
        <v>7763</v>
      </c>
      <c r="G24" s="195">
        <v>46304</v>
      </c>
      <c r="H24" s="47" t="s">
        <v>7764</v>
      </c>
      <c r="I24" s="47" t="s">
        <v>7765</v>
      </c>
      <c r="J24" s="47" t="s">
        <v>6328</v>
      </c>
    </row>
    <row r="25" spans="2:10" ht="14.5">
      <c r="B25" s="47" t="s">
        <v>6558</v>
      </c>
      <c r="C25" s="47" t="s">
        <v>7761</v>
      </c>
      <c r="D25" s="47" t="s">
        <v>7787</v>
      </c>
      <c r="E25" s="47" t="s">
        <v>6557</v>
      </c>
      <c r="F25" s="47" t="s">
        <v>7763</v>
      </c>
      <c r="G25" s="195">
        <v>46309</v>
      </c>
      <c r="H25" s="47" t="s">
        <v>7764</v>
      </c>
      <c r="I25" s="47" t="s">
        <v>7765</v>
      </c>
      <c r="J25" s="47" t="s">
        <v>6557</v>
      </c>
    </row>
    <row r="26" spans="2:10" ht="14.5">
      <c r="B26" s="47" t="s">
        <v>6431</v>
      </c>
      <c r="C26" s="47" t="s">
        <v>64</v>
      </c>
      <c r="D26" s="47" t="s">
        <v>7788</v>
      </c>
      <c r="E26" s="47" t="s">
        <v>6430</v>
      </c>
      <c r="F26" s="47" t="s">
        <v>7763</v>
      </c>
      <c r="G26" s="195">
        <v>46311</v>
      </c>
      <c r="H26" s="47" t="s">
        <v>7769</v>
      </c>
      <c r="I26" s="47" t="s">
        <v>7765</v>
      </c>
      <c r="J26" s="47" t="s">
        <v>6430</v>
      </c>
    </row>
    <row r="27" spans="2:10" ht="14.25" customHeight="1">
      <c r="B27" s="47" t="s">
        <v>6497</v>
      </c>
      <c r="C27" s="47" t="s">
        <v>64</v>
      </c>
      <c r="D27" s="47" t="s">
        <v>7789</v>
      </c>
      <c r="E27" s="47" t="s">
        <v>6496</v>
      </c>
      <c r="F27" s="47" t="s">
        <v>7763</v>
      </c>
      <c r="G27" s="195">
        <v>46329</v>
      </c>
      <c r="H27" s="47" t="s">
        <v>7769</v>
      </c>
      <c r="I27" s="47" t="s">
        <v>7765</v>
      </c>
      <c r="J27" s="47" t="s">
        <v>6496</v>
      </c>
    </row>
    <row r="28" spans="2:10" ht="14.5">
      <c r="B28" s="47" t="s">
        <v>6053</v>
      </c>
      <c r="C28" s="47" t="s">
        <v>7761</v>
      </c>
      <c r="D28" s="47" t="s">
        <v>7790</v>
      </c>
      <c r="E28" s="47"/>
      <c r="F28" s="47" t="s">
        <v>7763</v>
      </c>
      <c r="G28" s="195">
        <v>46300</v>
      </c>
      <c r="H28" s="47" t="s">
        <v>7764</v>
      </c>
      <c r="I28" s="47" t="s">
        <v>7765</v>
      </c>
      <c r="J28" s="47" t="s">
        <v>7791</v>
      </c>
    </row>
    <row r="29" spans="2:10" ht="14.5">
      <c r="B29" s="47" t="s">
        <v>6248</v>
      </c>
      <c r="C29" s="47" t="s">
        <v>7761</v>
      </c>
      <c r="D29" s="47" t="s">
        <v>7792</v>
      </c>
      <c r="E29" s="47" t="s">
        <v>6246</v>
      </c>
      <c r="F29" s="47" t="s">
        <v>7763</v>
      </c>
      <c r="G29" s="195">
        <v>46304</v>
      </c>
      <c r="H29" s="47" t="s">
        <v>7764</v>
      </c>
      <c r="I29" s="47" t="s">
        <v>7765</v>
      </c>
      <c r="J29" s="47" t="s">
        <v>6246</v>
      </c>
    </row>
    <row r="30" spans="2:10" ht="14.5">
      <c r="B30" s="47" t="s">
        <v>6445</v>
      </c>
      <c r="C30" s="47" t="s">
        <v>7761</v>
      </c>
      <c r="D30" s="47" t="s">
        <v>7793</v>
      </c>
      <c r="E30" s="47" t="s">
        <v>6443</v>
      </c>
      <c r="F30" s="47" t="s">
        <v>7763</v>
      </c>
      <c r="G30" s="195">
        <v>46302</v>
      </c>
      <c r="H30" s="47" t="s">
        <v>7764</v>
      </c>
      <c r="I30" s="47" t="s">
        <v>7765</v>
      </c>
      <c r="J30" s="47" t="s">
        <v>6443</v>
      </c>
    </row>
    <row r="31" spans="2:10" ht="14.5">
      <c r="B31" s="47" t="s">
        <v>6468</v>
      </c>
      <c r="C31" s="47" t="s">
        <v>7761</v>
      </c>
      <c r="D31" s="47" t="s">
        <v>7794</v>
      </c>
      <c r="E31" s="47" t="s">
        <v>6465</v>
      </c>
      <c r="F31" s="47" t="s">
        <v>7763</v>
      </c>
      <c r="G31" s="195">
        <v>46305</v>
      </c>
      <c r="H31" s="47" t="s">
        <v>7764</v>
      </c>
      <c r="I31" s="47" t="s">
        <v>7765</v>
      </c>
      <c r="J31" s="47" t="s">
        <v>6465</v>
      </c>
    </row>
    <row r="32" spans="2:10" ht="14.5">
      <c r="B32" s="47" t="s">
        <v>6461</v>
      </c>
      <c r="C32" s="47" t="s">
        <v>7761</v>
      </c>
      <c r="D32" s="47" t="s">
        <v>7795</v>
      </c>
      <c r="E32" s="47" t="s">
        <v>6460</v>
      </c>
      <c r="F32" s="47" t="s">
        <v>7763</v>
      </c>
      <c r="G32" s="195">
        <v>46305</v>
      </c>
      <c r="H32" s="47" t="s">
        <v>7764</v>
      </c>
      <c r="I32" s="47" t="s">
        <v>7765</v>
      </c>
      <c r="J32" s="47" t="s">
        <v>6460</v>
      </c>
    </row>
    <row r="33" spans="2:10" ht="14.5">
      <c r="B33" s="47" t="s">
        <v>6457</v>
      </c>
      <c r="C33" s="47" t="s">
        <v>7761</v>
      </c>
      <c r="D33" s="47" t="s">
        <v>7796</v>
      </c>
      <c r="E33" s="47" t="s">
        <v>6456</v>
      </c>
      <c r="F33" s="47" t="s">
        <v>7763</v>
      </c>
      <c r="G33" s="195">
        <v>46305</v>
      </c>
      <c r="H33" s="47" t="s">
        <v>7764</v>
      </c>
      <c r="I33" s="47" t="s">
        <v>7765</v>
      </c>
      <c r="J33" s="47" t="s">
        <v>6456</v>
      </c>
    </row>
    <row r="34" spans="2:10" ht="14.5">
      <c r="B34" s="47" t="s">
        <v>6454</v>
      </c>
      <c r="C34" s="47" t="s">
        <v>7761</v>
      </c>
      <c r="D34" s="47" t="s">
        <v>7797</v>
      </c>
      <c r="E34" s="47" t="s">
        <v>6453</v>
      </c>
      <c r="F34" s="47" t="s">
        <v>7763</v>
      </c>
      <c r="G34" s="195">
        <v>46305</v>
      </c>
      <c r="H34" s="47" t="s">
        <v>7764</v>
      </c>
      <c r="I34" s="47" t="s">
        <v>7765</v>
      </c>
      <c r="J34" s="47" t="s">
        <v>6453</v>
      </c>
    </row>
    <row r="35" spans="2:10" ht="14.5">
      <c r="B35" s="47" t="s">
        <v>6449</v>
      </c>
      <c r="C35" s="47" t="s">
        <v>7761</v>
      </c>
      <c r="D35" s="47" t="s">
        <v>7798</v>
      </c>
      <c r="E35" s="47" t="s">
        <v>6448</v>
      </c>
      <c r="F35" s="47" t="s">
        <v>7763</v>
      </c>
      <c r="G35" s="195">
        <v>46305</v>
      </c>
      <c r="H35" s="47" t="s">
        <v>7764</v>
      </c>
      <c r="I35" s="47" t="s">
        <v>7765</v>
      </c>
      <c r="J35" s="47" t="s">
        <v>6448</v>
      </c>
    </row>
    <row r="36" spans="2:10" ht="14.5">
      <c r="B36" s="47" t="s">
        <v>6440</v>
      </c>
      <c r="C36" s="47" t="s">
        <v>7761</v>
      </c>
      <c r="D36" s="47" t="s">
        <v>7799</v>
      </c>
      <c r="E36" s="47" t="s">
        <v>6439</v>
      </c>
      <c r="F36" s="47" t="s">
        <v>7763</v>
      </c>
      <c r="G36" s="195">
        <v>46303</v>
      </c>
      <c r="H36" s="47" t="s">
        <v>7764</v>
      </c>
      <c r="I36" s="47" t="s">
        <v>7765</v>
      </c>
      <c r="J36" s="47" t="s">
        <v>6439</v>
      </c>
    </row>
    <row r="37" spans="2:10" ht="14.5">
      <c r="B37" s="47" t="s">
        <v>6436</v>
      </c>
      <c r="C37" s="47" t="s">
        <v>7761</v>
      </c>
      <c r="D37" s="47" t="s">
        <v>7800</v>
      </c>
      <c r="E37" s="47" t="s">
        <v>6435</v>
      </c>
      <c r="F37" s="47" t="s">
        <v>7763</v>
      </c>
      <c r="G37" s="195">
        <v>46305</v>
      </c>
      <c r="H37" s="47" t="s">
        <v>7764</v>
      </c>
      <c r="I37" s="47" t="s">
        <v>7765</v>
      </c>
      <c r="J37" s="47" t="s">
        <v>6435</v>
      </c>
    </row>
    <row r="38" spans="2:10" ht="14.5">
      <c r="B38" s="47" t="s">
        <v>6422</v>
      </c>
      <c r="C38" s="47" t="s">
        <v>7761</v>
      </c>
      <c r="D38" s="47" t="s">
        <v>7801</v>
      </c>
      <c r="E38" s="47" t="s">
        <v>6418</v>
      </c>
      <c r="F38" s="47" t="s">
        <v>7763</v>
      </c>
      <c r="G38" s="195">
        <v>46313</v>
      </c>
      <c r="H38" s="47" t="s">
        <v>7764</v>
      </c>
      <c r="I38" s="47" t="s">
        <v>7765</v>
      </c>
      <c r="J38" s="47" t="s">
        <v>6418</v>
      </c>
    </row>
    <row r="39" spans="2:10" ht="14.5">
      <c r="B39" s="47" t="s">
        <v>6255</v>
      </c>
      <c r="C39" s="47" t="s">
        <v>64</v>
      </c>
      <c r="D39" s="47" t="s">
        <v>7802</v>
      </c>
      <c r="E39" s="47" t="s">
        <v>6252</v>
      </c>
      <c r="F39" s="47" t="s">
        <v>7763</v>
      </c>
      <c r="G39" s="195">
        <v>46310</v>
      </c>
      <c r="H39" s="47" t="s">
        <v>7769</v>
      </c>
      <c r="I39" s="47" t="s">
        <v>7765</v>
      </c>
      <c r="J39" s="47" t="s">
        <v>6252</v>
      </c>
    </row>
    <row r="40" spans="2:10" ht="14.5">
      <c r="B40" s="47" t="s">
        <v>6080</v>
      </c>
      <c r="C40" s="47" t="s">
        <v>64</v>
      </c>
      <c r="D40" s="47" t="s">
        <v>7803</v>
      </c>
      <c r="E40" s="47" t="s">
        <v>6079</v>
      </c>
      <c r="F40" s="47" t="s">
        <v>7763</v>
      </c>
      <c r="G40" s="195">
        <v>46310</v>
      </c>
      <c r="H40" s="47" t="s">
        <v>7769</v>
      </c>
      <c r="I40" s="47" t="s">
        <v>7765</v>
      </c>
      <c r="J40" s="47" t="s">
        <v>6079</v>
      </c>
    </row>
    <row r="41" spans="2:10" ht="14.5">
      <c r="B41" s="47" t="s">
        <v>6581</v>
      </c>
      <c r="C41" s="47" t="s">
        <v>7761</v>
      </c>
      <c r="D41" s="47" t="s">
        <v>7804</v>
      </c>
      <c r="E41" s="47" t="s">
        <v>6580</v>
      </c>
      <c r="F41" s="47" t="s">
        <v>7763</v>
      </c>
      <c r="G41" s="195">
        <v>46323</v>
      </c>
      <c r="H41" s="47" t="s">
        <v>7764</v>
      </c>
      <c r="I41" s="47" t="s">
        <v>7765</v>
      </c>
      <c r="J41" s="47"/>
    </row>
    <row r="42" spans="2:10" ht="14.5">
      <c r="B42" s="47" t="s">
        <v>6470</v>
      </c>
      <c r="C42" s="47" t="s">
        <v>64</v>
      </c>
      <c r="D42" s="47" t="s">
        <v>7805</v>
      </c>
      <c r="E42" s="47" t="s">
        <v>6469</v>
      </c>
      <c r="F42" s="47" t="s">
        <v>7763</v>
      </c>
      <c r="G42" s="195">
        <v>46312</v>
      </c>
      <c r="H42" s="47" t="s">
        <v>7769</v>
      </c>
      <c r="I42" s="47" t="s">
        <v>7765</v>
      </c>
      <c r="J42" s="47" t="s">
        <v>6469</v>
      </c>
    </row>
    <row r="43" spans="2:10" ht="14.5">
      <c r="B43" s="47" t="s">
        <v>6258</v>
      </c>
      <c r="C43" s="47" t="s">
        <v>64</v>
      </c>
      <c r="D43" s="47" t="s">
        <v>7806</v>
      </c>
      <c r="E43" s="47" t="s">
        <v>6257</v>
      </c>
      <c r="F43" s="47" t="s">
        <v>7763</v>
      </c>
      <c r="G43" s="195">
        <v>46310</v>
      </c>
      <c r="H43" s="47" t="s">
        <v>7769</v>
      </c>
      <c r="I43" s="47" t="s">
        <v>7765</v>
      </c>
      <c r="J43" s="47" t="s">
        <v>6257</v>
      </c>
    </row>
    <row r="44" spans="2:10" ht="14.5">
      <c r="B44" s="47" t="s">
        <v>6084</v>
      </c>
      <c r="C44" s="47" t="s">
        <v>64</v>
      </c>
      <c r="D44" s="47" t="s">
        <v>7807</v>
      </c>
      <c r="E44" s="47" t="s">
        <v>6083</v>
      </c>
      <c r="F44" s="47" t="s">
        <v>7763</v>
      </c>
      <c r="G44" s="195">
        <v>46310</v>
      </c>
      <c r="H44" s="47" t="s">
        <v>7769</v>
      </c>
      <c r="I44" s="47" t="s">
        <v>7765</v>
      </c>
      <c r="J44" s="47" t="s">
        <v>6083</v>
      </c>
    </row>
    <row r="45" spans="2:10" ht="14.5">
      <c r="B45" s="47" t="s">
        <v>7551</v>
      </c>
      <c r="C45" s="47" t="s">
        <v>64</v>
      </c>
      <c r="D45" s="47" t="s">
        <v>7808</v>
      </c>
      <c r="E45" s="47" t="s">
        <v>7809</v>
      </c>
      <c r="F45" s="47" t="s">
        <v>7810</v>
      </c>
      <c r="G45" s="195">
        <v>46312</v>
      </c>
      <c r="H45" s="47" t="s">
        <v>7769</v>
      </c>
      <c r="I45" s="47" t="s">
        <v>7765</v>
      </c>
      <c r="J45" s="47" t="s">
        <v>7544</v>
      </c>
    </row>
    <row r="46" spans="2:10" ht="14.5">
      <c r="B46" s="47" t="s">
        <v>7486</v>
      </c>
      <c r="C46" s="47" t="s">
        <v>64</v>
      </c>
      <c r="D46" s="47" t="s">
        <v>7811</v>
      </c>
      <c r="E46" s="47" t="s">
        <v>7812</v>
      </c>
      <c r="F46" s="47" t="s">
        <v>7810</v>
      </c>
      <c r="G46" s="195">
        <v>46310</v>
      </c>
      <c r="H46" s="47" t="s">
        <v>7769</v>
      </c>
      <c r="I46" s="47" t="s">
        <v>7765</v>
      </c>
      <c r="J46" s="47" t="s">
        <v>7813</v>
      </c>
    </row>
    <row r="47" spans="2:10" ht="14.5">
      <c r="B47" s="47" t="s">
        <v>7814</v>
      </c>
      <c r="C47" s="47" t="s">
        <v>64</v>
      </c>
      <c r="D47" s="47" t="s">
        <v>7815</v>
      </c>
      <c r="E47" s="47" t="s">
        <v>7816</v>
      </c>
      <c r="F47" s="47" t="s">
        <v>7763</v>
      </c>
      <c r="G47" s="195">
        <v>46269</v>
      </c>
      <c r="H47" s="47" t="s">
        <v>7764</v>
      </c>
      <c r="I47" s="47" t="s">
        <v>7765</v>
      </c>
      <c r="J47" s="47" t="s">
        <v>7817</v>
      </c>
    </row>
    <row r="48" spans="2:10" ht="14.5">
      <c r="B48" s="47" t="s">
        <v>7497</v>
      </c>
      <c r="C48" s="47" t="s">
        <v>64</v>
      </c>
      <c r="D48" s="47" t="s">
        <v>7818</v>
      </c>
      <c r="E48" s="47" t="s">
        <v>7819</v>
      </c>
      <c r="F48" s="47" t="s">
        <v>7810</v>
      </c>
      <c r="G48" s="195">
        <v>46317</v>
      </c>
      <c r="H48" s="47" t="s">
        <v>7769</v>
      </c>
      <c r="I48" s="47" t="s">
        <v>7765</v>
      </c>
      <c r="J48" s="47" t="s">
        <v>7820</v>
      </c>
    </row>
    <row r="49" spans="2:10" ht="14.5">
      <c r="B49" s="47" t="s">
        <v>7511</v>
      </c>
      <c r="C49" s="47" t="s">
        <v>64</v>
      </c>
      <c r="D49" s="47" t="s">
        <v>7821</v>
      </c>
      <c r="E49" s="47" t="s">
        <v>7822</v>
      </c>
      <c r="F49" s="47" t="s">
        <v>7810</v>
      </c>
      <c r="G49" s="195">
        <v>46322</v>
      </c>
      <c r="H49" s="47" t="s">
        <v>7769</v>
      </c>
      <c r="I49" s="47" t="s">
        <v>7765</v>
      </c>
      <c r="J49" s="47" t="s">
        <v>7823</v>
      </c>
    </row>
    <row r="50" spans="2:10" ht="14.5">
      <c r="B50" s="47" t="s">
        <v>7482</v>
      </c>
      <c r="C50" s="47" t="s">
        <v>64</v>
      </c>
      <c r="D50" s="47" t="s">
        <v>7824</v>
      </c>
      <c r="E50" s="47" t="s">
        <v>7825</v>
      </c>
      <c r="F50" s="47" t="s">
        <v>7810</v>
      </c>
      <c r="G50" s="195">
        <v>46310</v>
      </c>
      <c r="H50" s="47" t="s">
        <v>7769</v>
      </c>
      <c r="I50" s="47" t="s">
        <v>7765</v>
      </c>
      <c r="J50" s="47" t="s">
        <v>7479</v>
      </c>
    </row>
    <row r="51" spans="2:10" ht="14.5">
      <c r="B51" s="47" t="s">
        <v>6311</v>
      </c>
      <c r="C51" s="47" t="s">
        <v>7761</v>
      </c>
      <c r="D51" s="47" t="s">
        <v>7826</v>
      </c>
      <c r="E51" s="47" t="s">
        <v>6310</v>
      </c>
      <c r="F51" s="47" t="s">
        <v>7763</v>
      </c>
      <c r="G51" s="195">
        <v>46296</v>
      </c>
      <c r="H51" s="47" t="s">
        <v>7764</v>
      </c>
      <c r="I51" s="47" t="s">
        <v>7765</v>
      </c>
      <c r="J51" s="47" t="s">
        <v>6310</v>
      </c>
    </row>
    <row r="52" spans="2:10" ht="14.5">
      <c r="B52" s="47" t="s">
        <v>6320</v>
      </c>
      <c r="C52" s="47" t="s">
        <v>7761</v>
      </c>
      <c r="D52" s="47" t="s">
        <v>7827</v>
      </c>
      <c r="E52" s="47" t="s">
        <v>6319</v>
      </c>
      <c r="F52" s="47" t="s">
        <v>7763</v>
      </c>
      <c r="G52" s="195">
        <v>46296</v>
      </c>
      <c r="H52" s="47" t="s">
        <v>7764</v>
      </c>
      <c r="I52" s="47" t="s">
        <v>7765</v>
      </c>
      <c r="J52" s="47" t="s">
        <v>6319</v>
      </c>
    </row>
    <row r="53" spans="2:10" ht="14.5">
      <c r="B53" s="47" t="s">
        <v>6325</v>
      </c>
      <c r="C53" s="47" t="s">
        <v>7761</v>
      </c>
      <c r="D53" s="47" t="s">
        <v>7828</v>
      </c>
      <c r="E53" s="47" t="s">
        <v>6324</v>
      </c>
      <c r="F53" s="47" t="s">
        <v>7763</v>
      </c>
      <c r="G53" s="195">
        <v>46296</v>
      </c>
      <c r="H53" s="47" t="s">
        <v>7764</v>
      </c>
      <c r="I53" s="47" t="s">
        <v>7765</v>
      </c>
      <c r="J53" s="47" t="s">
        <v>6324</v>
      </c>
    </row>
    <row r="54" spans="2:10" ht="14.5">
      <c r="B54" s="47" t="s">
        <v>6316</v>
      </c>
      <c r="C54" s="47" t="s">
        <v>7761</v>
      </c>
      <c r="D54" s="47" t="s">
        <v>7829</v>
      </c>
      <c r="E54" s="47" t="s">
        <v>6315</v>
      </c>
      <c r="F54" s="47" t="s">
        <v>7763</v>
      </c>
      <c r="G54" s="195">
        <v>46297</v>
      </c>
      <c r="H54" s="47" t="s">
        <v>7764</v>
      </c>
      <c r="I54" s="47" t="s">
        <v>7765</v>
      </c>
      <c r="J54" s="47" t="s">
        <v>6315</v>
      </c>
    </row>
    <row r="55" spans="2:10" ht="14.5">
      <c r="B55" s="47" t="s">
        <v>6175</v>
      </c>
      <c r="C55" s="47" t="s">
        <v>7761</v>
      </c>
      <c r="D55" s="47" t="s">
        <v>7830</v>
      </c>
      <c r="E55" s="47" t="s">
        <v>6171</v>
      </c>
      <c r="F55" s="47" t="s">
        <v>7763</v>
      </c>
      <c r="G55" s="195">
        <v>46304</v>
      </c>
      <c r="H55" s="47" t="s">
        <v>7764</v>
      </c>
      <c r="I55" s="47" t="s">
        <v>7765</v>
      </c>
      <c r="J55" s="47" t="s">
        <v>6171</v>
      </c>
    </row>
    <row r="56" spans="2:10" ht="14.5">
      <c r="B56" s="47" t="s">
        <v>6374</v>
      </c>
      <c r="C56" s="47" t="s">
        <v>64</v>
      </c>
      <c r="D56" s="47" t="s">
        <v>7831</v>
      </c>
      <c r="E56" s="47" t="s">
        <v>6371</v>
      </c>
      <c r="F56" s="47" t="s">
        <v>7763</v>
      </c>
      <c r="G56" s="195">
        <v>46328</v>
      </c>
      <c r="H56" s="47" t="s">
        <v>7769</v>
      </c>
      <c r="I56" s="47" t="s">
        <v>7765</v>
      </c>
      <c r="J56" s="47" t="s">
        <v>6371</v>
      </c>
    </row>
    <row r="57" spans="2:10" ht="14.5">
      <c r="B57" s="47" t="s">
        <v>6077</v>
      </c>
      <c r="C57" s="47" t="s">
        <v>64</v>
      </c>
      <c r="D57" s="47" t="s">
        <v>7832</v>
      </c>
      <c r="E57" s="47" t="s">
        <v>6076</v>
      </c>
      <c r="F57" s="47" t="s">
        <v>7763</v>
      </c>
      <c r="G57" s="195">
        <v>46310</v>
      </c>
      <c r="H57" s="47" t="s">
        <v>7769</v>
      </c>
      <c r="I57" s="47" t="s">
        <v>7765</v>
      </c>
      <c r="J57" s="47" t="s">
        <v>6076</v>
      </c>
    </row>
    <row r="58" spans="2:10" ht="14.5">
      <c r="B58" s="47" t="s">
        <v>6260</v>
      </c>
      <c r="C58" s="47" t="s">
        <v>64</v>
      </c>
      <c r="D58" s="47" t="s">
        <v>7833</v>
      </c>
      <c r="E58" s="47" t="s">
        <v>6259</v>
      </c>
      <c r="F58" s="47" t="s">
        <v>7763</v>
      </c>
      <c r="G58" s="195">
        <v>46326</v>
      </c>
      <c r="H58" s="47" t="s">
        <v>7769</v>
      </c>
      <c r="I58" s="47" t="s">
        <v>7765</v>
      </c>
      <c r="J58" s="47" t="s">
        <v>6259</v>
      </c>
    </row>
    <row r="59" spans="2:10" ht="14.5">
      <c r="B59" s="47" t="s">
        <v>6264</v>
      </c>
      <c r="C59" s="47" t="s">
        <v>64</v>
      </c>
      <c r="D59" s="47" t="s">
        <v>7834</v>
      </c>
      <c r="E59" s="47" t="s">
        <v>6263</v>
      </c>
      <c r="F59" s="47" t="s">
        <v>7763</v>
      </c>
      <c r="G59" s="195">
        <v>46326</v>
      </c>
      <c r="H59" s="47" t="s">
        <v>7769</v>
      </c>
      <c r="I59" s="47" t="s">
        <v>7765</v>
      </c>
      <c r="J59" s="47" t="s">
        <v>6263</v>
      </c>
    </row>
    <row r="60" spans="2:10" ht="14.5">
      <c r="B60" s="47" t="s">
        <v>6041</v>
      </c>
      <c r="C60" s="47" t="s">
        <v>64</v>
      </c>
      <c r="D60" s="47" t="s">
        <v>7835</v>
      </c>
      <c r="E60" s="47" t="s">
        <v>6040</v>
      </c>
      <c r="F60" s="47" t="s">
        <v>7763</v>
      </c>
      <c r="G60" s="195">
        <v>46302</v>
      </c>
      <c r="H60" s="47" t="s">
        <v>7769</v>
      </c>
      <c r="I60" s="47" t="s">
        <v>7765</v>
      </c>
      <c r="J60" s="47" t="s">
        <v>6040</v>
      </c>
    </row>
    <row r="61" spans="2:10" ht="14.5">
      <c r="B61" s="47" t="s">
        <v>6213</v>
      </c>
      <c r="C61" s="47" t="s">
        <v>64</v>
      </c>
      <c r="D61" s="47" t="s">
        <v>7836</v>
      </c>
      <c r="E61" s="47" t="s">
        <v>6212</v>
      </c>
      <c r="F61" s="47" t="s">
        <v>7763</v>
      </c>
      <c r="G61" s="195">
        <v>46305</v>
      </c>
      <c r="H61" s="47" t="s">
        <v>7769</v>
      </c>
      <c r="I61" s="47" t="s">
        <v>7765</v>
      </c>
      <c r="J61" s="47" t="s">
        <v>6212</v>
      </c>
    </row>
    <row r="62" spans="2:10" ht="14.5">
      <c r="B62" s="47" t="s">
        <v>6033</v>
      </c>
      <c r="C62" s="47" t="s">
        <v>64</v>
      </c>
      <c r="D62" s="47" t="s">
        <v>7837</v>
      </c>
      <c r="E62" s="47" t="s">
        <v>6032</v>
      </c>
      <c r="F62" s="47" t="s">
        <v>7763</v>
      </c>
      <c r="G62" s="195">
        <v>46302</v>
      </c>
      <c r="H62" s="47" t="s">
        <v>7769</v>
      </c>
      <c r="I62" s="47" t="s">
        <v>7765</v>
      </c>
      <c r="J62" s="47" t="s">
        <v>6032</v>
      </c>
    </row>
    <row r="63" spans="2:10" ht="14.5">
      <c r="B63" s="47" t="s">
        <v>6038</v>
      </c>
      <c r="C63" s="47" t="s">
        <v>64</v>
      </c>
      <c r="D63" s="47" t="s">
        <v>7838</v>
      </c>
      <c r="E63" s="47" t="s">
        <v>6037</v>
      </c>
      <c r="F63" s="47" t="s">
        <v>7763</v>
      </c>
      <c r="G63" s="195">
        <v>46302</v>
      </c>
      <c r="H63" s="47" t="s">
        <v>7769</v>
      </c>
      <c r="I63" s="47" t="s">
        <v>7765</v>
      </c>
      <c r="J63" s="47" t="s">
        <v>6037</v>
      </c>
    </row>
    <row r="64" spans="2:10" ht="14.5">
      <c r="B64" s="47" t="s">
        <v>6242</v>
      </c>
      <c r="C64" s="47" t="s">
        <v>64</v>
      </c>
      <c r="D64" s="47" t="s">
        <v>7839</v>
      </c>
      <c r="E64" s="47" t="s">
        <v>6241</v>
      </c>
      <c r="F64" s="47" t="s">
        <v>7763</v>
      </c>
      <c r="G64" s="195">
        <v>46322</v>
      </c>
      <c r="H64" s="47" t="s">
        <v>7769</v>
      </c>
      <c r="I64" s="47" t="s">
        <v>7765</v>
      </c>
      <c r="J64" s="47" t="s">
        <v>6241</v>
      </c>
    </row>
    <row r="65" spans="2:10" ht="14.5">
      <c r="B65" s="47" t="s">
        <v>6075</v>
      </c>
      <c r="C65" s="47" t="s">
        <v>64</v>
      </c>
      <c r="D65" s="47" t="s">
        <v>7840</v>
      </c>
      <c r="E65" s="47" t="s">
        <v>6074</v>
      </c>
      <c r="F65" s="47" t="s">
        <v>7763</v>
      </c>
      <c r="G65" s="195">
        <v>46310</v>
      </c>
      <c r="H65" s="47" t="s">
        <v>7769</v>
      </c>
      <c r="I65" s="47" t="s">
        <v>7765</v>
      </c>
      <c r="J65" s="47" t="s">
        <v>6074</v>
      </c>
    </row>
    <row r="66" spans="2:10" ht="14.5">
      <c r="B66" s="47" t="s">
        <v>6071</v>
      </c>
      <c r="C66" s="47" t="s">
        <v>64</v>
      </c>
      <c r="D66" s="47" t="s">
        <v>7841</v>
      </c>
      <c r="E66" s="47" t="s">
        <v>6070</v>
      </c>
      <c r="F66" s="47" t="s">
        <v>7763</v>
      </c>
      <c r="G66" s="195">
        <v>46310</v>
      </c>
      <c r="H66" s="47" t="s">
        <v>7769</v>
      </c>
      <c r="I66" s="47" t="s">
        <v>7765</v>
      </c>
      <c r="J66" s="47" t="s">
        <v>6070</v>
      </c>
    </row>
    <row r="67" spans="2:10" ht="14.5">
      <c r="B67" s="47" t="s">
        <v>6218</v>
      </c>
      <c r="C67" s="47" t="s">
        <v>64</v>
      </c>
      <c r="D67" s="47" t="s">
        <v>7842</v>
      </c>
      <c r="E67" s="47" t="s">
        <v>6217</v>
      </c>
      <c r="F67" s="47" t="s">
        <v>7763</v>
      </c>
      <c r="G67" s="195">
        <v>46304</v>
      </c>
      <c r="H67" s="47" t="s">
        <v>7769</v>
      </c>
      <c r="I67" s="47" t="s">
        <v>7765</v>
      </c>
      <c r="J67" s="47" t="s">
        <v>6217</v>
      </c>
    </row>
    <row r="68" spans="2:10" ht="14.5">
      <c r="B68" s="47" t="s">
        <v>6266</v>
      </c>
      <c r="C68" s="47" t="s">
        <v>64</v>
      </c>
      <c r="D68" s="47" t="s">
        <v>7843</v>
      </c>
      <c r="E68" s="47" t="s">
        <v>6265</v>
      </c>
      <c r="F68" s="47" t="s">
        <v>7763</v>
      </c>
      <c r="G68" s="195">
        <v>46325</v>
      </c>
      <c r="H68" s="47" t="s">
        <v>7769</v>
      </c>
      <c r="I68" s="47" t="s">
        <v>7765</v>
      </c>
      <c r="J68" s="47" t="s">
        <v>6265</v>
      </c>
    </row>
    <row r="69" spans="2:10" ht="14.5">
      <c r="B69" s="47" t="s">
        <v>6047</v>
      </c>
      <c r="C69" s="47" t="s">
        <v>64</v>
      </c>
      <c r="D69" s="47" t="s">
        <v>7844</v>
      </c>
      <c r="E69" s="47" t="s">
        <v>6046</v>
      </c>
      <c r="F69" s="47" t="s">
        <v>7763</v>
      </c>
      <c r="G69" s="195">
        <v>46269</v>
      </c>
      <c r="H69" s="47" t="s">
        <v>7769</v>
      </c>
      <c r="I69" s="47" t="s">
        <v>7765</v>
      </c>
      <c r="J69" s="47" t="s">
        <v>6046</v>
      </c>
    </row>
    <row r="70" spans="2:10" ht="14.5">
      <c r="B70" s="47" t="s">
        <v>6043</v>
      </c>
      <c r="C70" s="47" t="s">
        <v>64</v>
      </c>
      <c r="D70" s="47" t="s">
        <v>7845</v>
      </c>
      <c r="E70" s="47" t="s">
        <v>6042</v>
      </c>
      <c r="F70" s="47" t="s">
        <v>7763</v>
      </c>
      <c r="G70" s="195">
        <v>46300</v>
      </c>
      <c r="H70" s="47" t="s">
        <v>7769</v>
      </c>
      <c r="I70" s="47" t="s">
        <v>7765</v>
      </c>
      <c r="J70" s="47" t="s">
        <v>6042</v>
      </c>
    </row>
    <row r="71" spans="2:10" ht="14.5">
      <c r="B71" s="47" t="s">
        <v>6168</v>
      </c>
      <c r="C71" s="47" t="s">
        <v>64</v>
      </c>
      <c r="D71" s="47" t="s">
        <v>7846</v>
      </c>
      <c r="E71" s="47" t="s">
        <v>6167</v>
      </c>
      <c r="F71" s="47" t="s">
        <v>7763</v>
      </c>
      <c r="G71" s="195">
        <v>46312</v>
      </c>
      <c r="H71" s="47" t="s">
        <v>7769</v>
      </c>
      <c r="I71" s="47" t="s">
        <v>7765</v>
      </c>
      <c r="J71" s="47" t="s">
        <v>6167</v>
      </c>
    </row>
    <row r="72" spans="2:10" ht="14.5">
      <c r="B72" s="47" t="s">
        <v>7490</v>
      </c>
      <c r="C72" s="47" t="s">
        <v>64</v>
      </c>
      <c r="D72" s="47" t="s">
        <v>7847</v>
      </c>
      <c r="E72" s="47" t="s">
        <v>7848</v>
      </c>
      <c r="F72" s="47" t="s">
        <v>7810</v>
      </c>
      <c r="G72" s="195">
        <v>46296</v>
      </c>
      <c r="H72" s="47" t="s">
        <v>7769</v>
      </c>
      <c r="I72" s="47" t="s">
        <v>7765</v>
      </c>
      <c r="J72" s="47" t="s">
        <v>7849</v>
      </c>
    </row>
    <row r="73" spans="2:10" ht="14.5">
      <c r="B73" s="47" t="s">
        <v>6415</v>
      </c>
      <c r="C73" s="47" t="s">
        <v>64</v>
      </c>
      <c r="D73" s="47" t="s">
        <v>7850</v>
      </c>
      <c r="E73" s="47" t="s">
        <v>6414</v>
      </c>
      <c r="F73" s="47" t="s">
        <v>7763</v>
      </c>
      <c r="G73" s="195">
        <v>46321</v>
      </c>
      <c r="H73" s="47" t="s">
        <v>7769</v>
      </c>
      <c r="I73" s="47" t="s">
        <v>7765</v>
      </c>
      <c r="J73" s="47" t="s">
        <v>6414</v>
      </c>
    </row>
    <row r="74" spans="2:10" ht="14.5">
      <c r="B74" s="47" t="s">
        <v>6411</v>
      </c>
      <c r="C74" s="47" t="s">
        <v>64</v>
      </c>
      <c r="D74" s="47" t="s">
        <v>7851</v>
      </c>
      <c r="E74" s="47" t="s">
        <v>6409</v>
      </c>
      <c r="F74" s="47" t="s">
        <v>7763</v>
      </c>
      <c r="G74" s="195">
        <v>46328</v>
      </c>
      <c r="H74" s="47" t="s">
        <v>7769</v>
      </c>
      <c r="I74" s="47" t="s">
        <v>7765</v>
      </c>
      <c r="J74" s="47" t="s">
        <v>6409</v>
      </c>
    </row>
    <row r="75" spans="2:10" ht="14.5">
      <c r="B75" s="47" t="s">
        <v>6352</v>
      </c>
      <c r="C75" s="47" t="s">
        <v>64</v>
      </c>
      <c r="D75" s="47" t="s">
        <v>7852</v>
      </c>
      <c r="E75" s="47" t="s">
        <v>6350</v>
      </c>
      <c r="F75" s="47" t="s">
        <v>7763</v>
      </c>
      <c r="G75" s="195">
        <v>46318</v>
      </c>
      <c r="H75" s="47" t="s">
        <v>7769</v>
      </c>
      <c r="I75" s="47" t="s">
        <v>7765</v>
      </c>
      <c r="J75" s="47" t="s">
        <v>6350</v>
      </c>
    </row>
    <row r="76" spans="2:10" ht="14.5">
      <c r="B76" s="47" t="s">
        <v>6349</v>
      </c>
      <c r="C76" s="47" t="s">
        <v>64</v>
      </c>
      <c r="D76" s="47" t="s">
        <v>7853</v>
      </c>
      <c r="E76" s="47" t="s">
        <v>6347</v>
      </c>
      <c r="F76" s="47" t="s">
        <v>7763</v>
      </c>
      <c r="G76" s="195">
        <v>46318</v>
      </c>
      <c r="H76" s="47" t="s">
        <v>7769</v>
      </c>
      <c r="I76" s="47" t="s">
        <v>7765</v>
      </c>
      <c r="J76" s="47" t="s">
        <v>6347</v>
      </c>
    </row>
    <row r="77" spans="2:10" ht="14.5">
      <c r="B77" s="47" t="s">
        <v>6183</v>
      </c>
      <c r="C77" s="47" t="s">
        <v>64</v>
      </c>
      <c r="D77" s="47" t="s">
        <v>7854</v>
      </c>
      <c r="E77" s="47" t="s">
        <v>7855</v>
      </c>
      <c r="F77" s="47" t="s">
        <v>7763</v>
      </c>
      <c r="G77" s="195">
        <v>46306</v>
      </c>
      <c r="H77" s="47" t="s">
        <v>7769</v>
      </c>
      <c r="I77" s="47" t="s">
        <v>7765</v>
      </c>
      <c r="J77" s="47" t="s">
        <v>7855</v>
      </c>
    </row>
    <row r="78" spans="2:10" ht="14.5">
      <c r="B78" s="47" t="s">
        <v>6189</v>
      </c>
      <c r="C78" s="47" t="s">
        <v>64</v>
      </c>
      <c r="D78" s="47" t="s">
        <v>7856</v>
      </c>
      <c r="E78" s="47" t="s">
        <v>6187</v>
      </c>
      <c r="F78" s="47" t="s">
        <v>7763</v>
      </c>
      <c r="G78" s="195">
        <v>46306</v>
      </c>
      <c r="H78" s="47" t="s">
        <v>7769</v>
      </c>
      <c r="I78" s="47" t="s">
        <v>7765</v>
      </c>
      <c r="J78" s="47" t="s">
        <v>6187</v>
      </c>
    </row>
    <row r="79" spans="2:10" ht="14.5">
      <c r="B79" s="47" t="s">
        <v>6231</v>
      </c>
      <c r="C79" s="47" t="s">
        <v>64</v>
      </c>
      <c r="D79" s="47" t="s">
        <v>7857</v>
      </c>
      <c r="E79" s="47" t="s">
        <v>6230</v>
      </c>
      <c r="F79" s="47" t="s">
        <v>7763</v>
      </c>
      <c r="G79" s="195">
        <v>46305</v>
      </c>
      <c r="H79" s="47" t="s">
        <v>7769</v>
      </c>
      <c r="I79" s="47" t="s">
        <v>7765</v>
      </c>
      <c r="J79" s="47" t="s">
        <v>6230</v>
      </c>
    </row>
    <row r="80" spans="2:10" ht="14.5">
      <c r="B80" s="47" t="s">
        <v>6228</v>
      </c>
      <c r="C80" s="47" t="s">
        <v>64</v>
      </c>
      <c r="D80" s="47" t="s">
        <v>7858</v>
      </c>
      <c r="E80" s="47" t="s">
        <v>6227</v>
      </c>
      <c r="F80" s="47" t="s">
        <v>7763</v>
      </c>
      <c r="G80" s="195">
        <v>46305</v>
      </c>
      <c r="H80" s="47" t="s">
        <v>7769</v>
      </c>
      <c r="I80" s="47" t="s">
        <v>7765</v>
      </c>
      <c r="J80" s="47" t="s">
        <v>6227</v>
      </c>
    </row>
    <row r="81" spans="2:10" ht="14.5">
      <c r="B81" s="47" t="s">
        <v>6343</v>
      </c>
      <c r="C81" s="47" t="s">
        <v>64</v>
      </c>
      <c r="D81" s="47" t="s">
        <v>7859</v>
      </c>
      <c r="E81" s="47" t="s">
        <v>6342</v>
      </c>
      <c r="F81" s="47" t="s">
        <v>7763</v>
      </c>
      <c r="G81" s="195">
        <v>46318</v>
      </c>
      <c r="H81" s="47" t="s">
        <v>7769</v>
      </c>
      <c r="I81" s="47" t="s">
        <v>7765</v>
      </c>
      <c r="J81" s="47" t="s">
        <v>6342</v>
      </c>
    </row>
    <row r="82" spans="2:10" ht="14.5">
      <c r="B82" s="47" t="s">
        <v>6197</v>
      </c>
      <c r="C82" s="47" t="s">
        <v>7761</v>
      </c>
      <c r="D82" s="47" t="s">
        <v>7860</v>
      </c>
      <c r="E82" s="47" t="s">
        <v>6195</v>
      </c>
      <c r="F82" s="47" t="s">
        <v>7763</v>
      </c>
      <c r="G82" s="195">
        <v>46294</v>
      </c>
      <c r="H82" s="47" t="s">
        <v>7764</v>
      </c>
      <c r="I82" s="47" t="s">
        <v>7765</v>
      </c>
      <c r="J82" s="47" t="s">
        <v>6195</v>
      </c>
    </row>
    <row r="83" spans="2:10" ht="14.5">
      <c r="B83" s="47" t="s">
        <v>6226</v>
      </c>
      <c r="C83" s="47" t="s">
        <v>64</v>
      </c>
      <c r="D83" s="47" t="s">
        <v>7861</v>
      </c>
      <c r="E83" s="47" t="s">
        <v>6225</v>
      </c>
      <c r="F83" s="47" t="s">
        <v>7763</v>
      </c>
      <c r="G83" s="195">
        <v>46305</v>
      </c>
      <c r="H83" s="47" t="s">
        <v>7769</v>
      </c>
      <c r="I83" s="47" t="s">
        <v>7765</v>
      </c>
      <c r="J83" s="47" t="s">
        <v>6225</v>
      </c>
    </row>
    <row r="84" spans="2:10" ht="14.5">
      <c r="B84" s="47" t="s">
        <v>6361</v>
      </c>
      <c r="C84" s="47" t="s">
        <v>64</v>
      </c>
      <c r="D84" s="47" t="s">
        <v>7862</v>
      </c>
      <c r="E84" s="47" t="s">
        <v>6360</v>
      </c>
      <c r="F84" s="47" t="s">
        <v>7763</v>
      </c>
      <c r="G84" s="195">
        <v>46329</v>
      </c>
      <c r="H84" s="47" t="s">
        <v>7769</v>
      </c>
      <c r="I84" s="47" t="s">
        <v>7765</v>
      </c>
      <c r="J84" s="47" t="s">
        <v>6360</v>
      </c>
    </row>
    <row r="85" spans="2:10" ht="14.5">
      <c r="B85" s="47" t="s">
        <v>6389</v>
      </c>
      <c r="C85" s="47" t="s">
        <v>64</v>
      </c>
      <c r="D85" s="47" t="s">
        <v>7863</v>
      </c>
      <c r="E85" s="47" t="s">
        <v>6388</v>
      </c>
      <c r="F85" s="47" t="s">
        <v>7763</v>
      </c>
      <c r="G85" s="195">
        <v>46311</v>
      </c>
      <c r="H85" s="47" t="s">
        <v>7769</v>
      </c>
      <c r="I85" s="47" t="s">
        <v>7765</v>
      </c>
      <c r="J85" s="47" t="s">
        <v>6388</v>
      </c>
    </row>
    <row r="86" spans="2:10" ht="14.5">
      <c r="B86" s="47" t="s">
        <v>6194</v>
      </c>
      <c r="C86" s="47" t="s">
        <v>64</v>
      </c>
      <c r="D86" s="47" t="s">
        <v>7864</v>
      </c>
      <c r="E86" s="47" t="s">
        <v>6193</v>
      </c>
      <c r="F86" s="47" t="s">
        <v>7763</v>
      </c>
      <c r="G86" s="195">
        <v>46306</v>
      </c>
      <c r="H86" s="47" t="s">
        <v>7769</v>
      </c>
      <c r="I86" s="47" t="s">
        <v>7765</v>
      </c>
      <c r="J86" s="47" t="s">
        <v>6193</v>
      </c>
    </row>
    <row r="87" spans="2:10" ht="14.5">
      <c r="B87" s="47" t="s">
        <v>6192</v>
      </c>
      <c r="C87" s="47" t="s">
        <v>64</v>
      </c>
      <c r="D87" s="47" t="s">
        <v>7865</v>
      </c>
      <c r="E87" s="47" t="s">
        <v>6190</v>
      </c>
      <c r="F87" s="47" t="s">
        <v>7763</v>
      </c>
      <c r="G87" s="195">
        <v>46306</v>
      </c>
      <c r="H87" s="47" t="s">
        <v>7769</v>
      </c>
      <c r="I87" s="47" t="s">
        <v>7765</v>
      </c>
      <c r="J87" s="47" t="s">
        <v>6190</v>
      </c>
    </row>
    <row r="88" spans="2:10" ht="14.5">
      <c r="B88" s="47" t="s">
        <v>5724</v>
      </c>
      <c r="C88" s="47" t="s">
        <v>64</v>
      </c>
      <c r="D88" s="47" t="s">
        <v>7866</v>
      </c>
      <c r="E88" s="47" t="s">
        <v>5723</v>
      </c>
      <c r="F88" s="47" t="s">
        <v>7763</v>
      </c>
      <c r="G88" s="195">
        <v>46322</v>
      </c>
      <c r="H88" s="47" t="s">
        <v>7769</v>
      </c>
      <c r="I88" s="47" t="s">
        <v>7765</v>
      </c>
      <c r="J88" s="47" t="s">
        <v>5723</v>
      </c>
    </row>
    <row r="89" spans="2:10" ht="14.5">
      <c r="B89" s="47" t="s">
        <v>6201</v>
      </c>
      <c r="C89" s="47" t="s">
        <v>7761</v>
      </c>
      <c r="D89" s="47" t="s">
        <v>7867</v>
      </c>
      <c r="E89" s="47" t="s">
        <v>6200</v>
      </c>
      <c r="F89" s="47" t="s">
        <v>7763</v>
      </c>
      <c r="G89" s="195">
        <v>46305</v>
      </c>
      <c r="H89" s="47" t="s">
        <v>7764</v>
      </c>
      <c r="I89" s="47" t="s">
        <v>7765</v>
      </c>
      <c r="J89" s="47" t="s">
        <v>6200</v>
      </c>
    </row>
    <row r="90" spans="2:10" ht="14.5">
      <c r="B90" s="47" t="s">
        <v>6339</v>
      </c>
      <c r="C90" s="47" t="s">
        <v>64</v>
      </c>
      <c r="D90" s="47" t="s">
        <v>7868</v>
      </c>
      <c r="E90" s="47" t="s">
        <v>6338</v>
      </c>
      <c r="F90" s="47" t="s">
        <v>7763</v>
      </c>
      <c r="G90" s="195">
        <v>46310</v>
      </c>
      <c r="H90" s="47" t="s">
        <v>7769</v>
      </c>
      <c r="I90" s="47" t="s">
        <v>7765</v>
      </c>
      <c r="J90" s="47" t="s">
        <v>6338</v>
      </c>
    </row>
    <row r="91" spans="2:10" ht="14.5">
      <c r="B91" s="47" t="s">
        <v>6221</v>
      </c>
      <c r="C91" s="47" t="s">
        <v>64</v>
      </c>
      <c r="D91" s="47" t="s">
        <v>7869</v>
      </c>
      <c r="E91" s="47" t="s">
        <v>6220</v>
      </c>
      <c r="F91" s="47" t="s">
        <v>7763</v>
      </c>
      <c r="G91" s="195">
        <v>46305</v>
      </c>
      <c r="H91" s="47" t="s">
        <v>7769</v>
      </c>
      <c r="I91" s="47" t="s">
        <v>7765</v>
      </c>
      <c r="J91" s="47" t="s">
        <v>6220</v>
      </c>
    </row>
    <row r="92" spans="2:10" ht="14.5">
      <c r="B92" s="47" t="s">
        <v>6365</v>
      </c>
      <c r="C92" s="47" t="s">
        <v>64</v>
      </c>
      <c r="D92" s="47" t="s">
        <v>7870</v>
      </c>
      <c r="E92" s="47" t="s">
        <v>6364</v>
      </c>
      <c r="F92" s="47" t="s">
        <v>7763</v>
      </c>
      <c r="G92" s="195">
        <v>46329</v>
      </c>
      <c r="H92" s="47" t="s">
        <v>7769</v>
      </c>
      <c r="I92" s="47" t="s">
        <v>7765</v>
      </c>
      <c r="J92" s="47" t="s">
        <v>6364</v>
      </c>
    </row>
    <row r="93" spans="2:10" ht="14.5">
      <c r="B93" s="47" t="s">
        <v>6396</v>
      </c>
      <c r="C93" s="47" t="s">
        <v>64</v>
      </c>
      <c r="D93" s="47" t="s">
        <v>7871</v>
      </c>
      <c r="E93" s="47" t="s">
        <v>6395</v>
      </c>
      <c r="F93" s="47" t="s">
        <v>7763</v>
      </c>
      <c r="G93" s="195">
        <v>46328</v>
      </c>
      <c r="H93" s="47" t="s">
        <v>7769</v>
      </c>
      <c r="I93" s="47" t="s">
        <v>7765</v>
      </c>
      <c r="J93" s="47" t="s">
        <v>6395</v>
      </c>
    </row>
    <row r="94" spans="2:10" ht="14.5">
      <c r="B94" s="47" t="s">
        <v>5732</v>
      </c>
      <c r="C94" s="47" t="s">
        <v>64</v>
      </c>
      <c r="D94" s="47" t="s">
        <v>7872</v>
      </c>
      <c r="E94" s="47" t="s">
        <v>5729</v>
      </c>
      <c r="F94" s="47" t="s">
        <v>7763</v>
      </c>
      <c r="G94" s="195">
        <v>46322</v>
      </c>
      <c r="H94" s="47" t="s">
        <v>7769</v>
      </c>
      <c r="I94" s="47" t="s">
        <v>7765</v>
      </c>
      <c r="J94" s="47" t="s">
        <v>5729</v>
      </c>
    </row>
    <row r="95" spans="2:10" ht="14.5">
      <c r="B95" s="47" t="s">
        <v>6334</v>
      </c>
      <c r="C95" s="47" t="s">
        <v>64</v>
      </c>
      <c r="D95" s="47" t="s">
        <v>7873</v>
      </c>
      <c r="E95" s="47" t="s">
        <v>6333</v>
      </c>
      <c r="F95" s="47" t="s">
        <v>7763</v>
      </c>
      <c r="G95" s="195">
        <v>46310</v>
      </c>
      <c r="H95" s="47" t="s">
        <v>7769</v>
      </c>
      <c r="I95" s="47" t="s">
        <v>7765</v>
      </c>
      <c r="J95" s="47" t="s">
        <v>6333</v>
      </c>
    </row>
    <row r="96" spans="2:10" ht="14.5">
      <c r="B96" s="47" t="s">
        <v>6006</v>
      </c>
      <c r="C96" s="47" t="s">
        <v>64</v>
      </c>
      <c r="D96" s="47" t="s">
        <v>7874</v>
      </c>
      <c r="E96" s="47" t="s">
        <v>6005</v>
      </c>
      <c r="F96" s="47" t="s">
        <v>7763</v>
      </c>
      <c r="G96" s="195">
        <v>46311</v>
      </c>
      <c r="H96" s="47" t="s">
        <v>7769</v>
      </c>
      <c r="I96" s="47" t="s">
        <v>7765</v>
      </c>
      <c r="J96" s="47" t="s">
        <v>6005</v>
      </c>
    </row>
    <row r="97" spans="2:10" ht="14.5">
      <c r="B97" s="47" t="s">
        <v>6406</v>
      </c>
      <c r="C97" s="47" t="s">
        <v>64</v>
      </c>
      <c r="D97" s="47" t="s">
        <v>7875</v>
      </c>
      <c r="E97" s="47" t="s">
        <v>6405</v>
      </c>
      <c r="F97" s="47" t="s">
        <v>7763</v>
      </c>
      <c r="G97" s="195">
        <v>46328</v>
      </c>
      <c r="H97" s="47" t="s">
        <v>7769</v>
      </c>
      <c r="I97" s="47" t="s">
        <v>7765</v>
      </c>
      <c r="J97" s="47" t="s">
        <v>6405</v>
      </c>
    </row>
    <row r="98" spans="2:10" ht="14.5">
      <c r="B98" s="47" t="s">
        <v>6380</v>
      </c>
      <c r="C98" s="47" t="s">
        <v>64</v>
      </c>
      <c r="D98" s="47" t="s">
        <v>7876</v>
      </c>
      <c r="E98" s="47" t="s">
        <v>6378</v>
      </c>
      <c r="F98" s="47" t="s">
        <v>7763</v>
      </c>
      <c r="G98" s="195">
        <v>46336</v>
      </c>
      <c r="H98" s="47" t="s">
        <v>7769</v>
      </c>
      <c r="I98" s="47" t="s">
        <v>7765</v>
      </c>
      <c r="J98" s="47" t="s">
        <v>6378</v>
      </c>
    </row>
    <row r="99" spans="2:10" ht="14.5">
      <c r="B99" s="47" t="s">
        <v>6010</v>
      </c>
      <c r="C99" s="47" t="s">
        <v>64</v>
      </c>
      <c r="D99" s="47" t="s">
        <v>7877</v>
      </c>
      <c r="E99" s="47" t="s">
        <v>6009</v>
      </c>
      <c r="F99" s="47" t="s">
        <v>7763</v>
      </c>
      <c r="G99" s="195">
        <v>46303</v>
      </c>
      <c r="H99" s="47" t="s">
        <v>7769</v>
      </c>
      <c r="I99" s="47" t="s">
        <v>7765</v>
      </c>
      <c r="J99" s="47" t="s">
        <v>6009</v>
      </c>
    </row>
    <row r="100" spans="2:10" ht="14.5">
      <c r="B100" s="47" t="s">
        <v>5719</v>
      </c>
      <c r="C100" s="47" t="s">
        <v>64</v>
      </c>
      <c r="D100" s="47" t="s">
        <v>7878</v>
      </c>
      <c r="E100" s="47" t="s">
        <v>5718</v>
      </c>
      <c r="F100" s="47" t="s">
        <v>7763</v>
      </c>
      <c r="G100" s="195">
        <v>46321</v>
      </c>
      <c r="H100" s="47" t="s">
        <v>7769</v>
      </c>
      <c r="I100" s="47" t="s">
        <v>7765</v>
      </c>
      <c r="J100" s="47" t="s">
        <v>5718</v>
      </c>
    </row>
    <row r="101" spans="2:10" ht="14.5">
      <c r="B101" s="47" t="s">
        <v>6069</v>
      </c>
      <c r="C101" s="47" t="s">
        <v>64</v>
      </c>
      <c r="D101" s="47" t="s">
        <v>7879</v>
      </c>
      <c r="E101" s="47" t="s">
        <v>6068</v>
      </c>
      <c r="F101" s="47" t="s">
        <v>7763</v>
      </c>
      <c r="G101" s="195">
        <v>46316</v>
      </c>
      <c r="H101" s="47" t="s">
        <v>7769</v>
      </c>
      <c r="I101" s="47" t="s">
        <v>7765</v>
      </c>
      <c r="J101" s="47" t="s">
        <v>6068</v>
      </c>
    </row>
    <row r="102" spans="2:10" ht="14.5">
      <c r="B102" s="47" t="s">
        <v>5728</v>
      </c>
      <c r="C102" s="47" t="s">
        <v>64</v>
      </c>
      <c r="D102" s="47" t="s">
        <v>7880</v>
      </c>
      <c r="E102" s="47" t="s">
        <v>5727</v>
      </c>
      <c r="F102" s="47" t="s">
        <v>7763</v>
      </c>
      <c r="G102" s="195">
        <v>46322</v>
      </c>
      <c r="H102" s="47" t="s">
        <v>7769</v>
      </c>
      <c r="I102" s="47" t="s">
        <v>7765</v>
      </c>
      <c r="J102" s="47" t="s">
        <v>5727</v>
      </c>
    </row>
    <row r="103" spans="2:10" ht="14.5">
      <c r="B103" s="47" t="s">
        <v>6094</v>
      </c>
      <c r="C103" s="47" t="s">
        <v>64</v>
      </c>
      <c r="D103" s="47" t="s">
        <v>7881</v>
      </c>
      <c r="E103" s="47" t="s">
        <v>6093</v>
      </c>
      <c r="F103" s="47" t="s">
        <v>7763</v>
      </c>
      <c r="G103" s="195">
        <v>46321</v>
      </c>
      <c r="H103" s="47" t="s">
        <v>7769</v>
      </c>
      <c r="I103" s="47" t="s">
        <v>7765</v>
      </c>
      <c r="J103" s="47" t="s">
        <v>6093</v>
      </c>
    </row>
    <row r="104" spans="2:10" ht="14.5">
      <c r="B104" s="47" t="s">
        <v>6134</v>
      </c>
      <c r="C104" s="47" t="s">
        <v>64</v>
      </c>
      <c r="D104" s="47" t="s">
        <v>7882</v>
      </c>
      <c r="E104" s="47" t="s">
        <v>6133</v>
      </c>
      <c r="F104" s="47" t="s">
        <v>7763</v>
      </c>
      <c r="G104" s="195">
        <v>46310</v>
      </c>
      <c r="H104" s="47" t="s">
        <v>7769</v>
      </c>
      <c r="I104" s="47" t="s">
        <v>7765</v>
      </c>
      <c r="J104" s="47" t="s">
        <v>6133</v>
      </c>
    </row>
    <row r="105" spans="2:10" ht="14.5">
      <c r="B105" s="47" t="s">
        <v>6268</v>
      </c>
      <c r="C105" s="47" t="s">
        <v>64</v>
      </c>
      <c r="D105" s="47" t="s">
        <v>7883</v>
      </c>
      <c r="E105" s="47" t="s">
        <v>6267</v>
      </c>
      <c r="F105" s="47" t="s">
        <v>7763</v>
      </c>
      <c r="G105" s="195">
        <v>46321</v>
      </c>
      <c r="H105" s="47" t="s">
        <v>7769</v>
      </c>
      <c r="I105" s="47" t="s">
        <v>7765</v>
      </c>
      <c r="J105" s="47" t="s">
        <v>6267</v>
      </c>
    </row>
    <row r="106" spans="2:10" ht="14.5">
      <c r="B106" s="47" t="s">
        <v>6292</v>
      </c>
      <c r="C106" s="47" t="s">
        <v>64</v>
      </c>
      <c r="D106" s="47" t="s">
        <v>7884</v>
      </c>
      <c r="E106" s="47" t="s">
        <v>6291</v>
      </c>
      <c r="F106" s="47" t="s">
        <v>7763</v>
      </c>
      <c r="G106" s="195">
        <v>46310</v>
      </c>
      <c r="H106" s="47" t="s">
        <v>7769</v>
      </c>
      <c r="I106" s="47" t="s">
        <v>7765</v>
      </c>
      <c r="J106" s="47" t="s">
        <v>6291</v>
      </c>
    </row>
    <row r="107" spans="2:10" ht="14.5">
      <c r="B107" s="47" t="s">
        <v>6234</v>
      </c>
      <c r="C107" s="47" t="s">
        <v>7761</v>
      </c>
      <c r="D107" s="47" t="s">
        <v>7885</v>
      </c>
      <c r="E107" s="47" t="s">
        <v>6232</v>
      </c>
      <c r="F107" s="47" t="s">
        <v>7763</v>
      </c>
      <c r="G107" s="195">
        <v>46298</v>
      </c>
      <c r="H107" s="47" t="s">
        <v>7764</v>
      </c>
      <c r="I107" s="47" t="s">
        <v>7765</v>
      </c>
      <c r="J107" s="47" t="s">
        <v>6232</v>
      </c>
    </row>
    <row r="108" spans="2:10" ht="14.5">
      <c r="B108" s="47" t="s">
        <v>6341</v>
      </c>
      <c r="C108" s="47" t="s">
        <v>64</v>
      </c>
      <c r="D108" s="47" t="s">
        <v>7886</v>
      </c>
      <c r="E108" s="47" t="s">
        <v>6340</v>
      </c>
      <c r="F108" s="47" t="s">
        <v>7763</v>
      </c>
      <c r="G108" s="195">
        <v>46310</v>
      </c>
      <c r="H108" s="47" t="s">
        <v>7769</v>
      </c>
      <c r="I108" s="47" t="s">
        <v>7765</v>
      </c>
      <c r="J108" s="47" t="s">
        <v>6340</v>
      </c>
    </row>
    <row r="109" spans="2:10" ht="14.5">
      <c r="B109" s="47" t="s">
        <v>6385</v>
      </c>
      <c r="C109" s="47" t="s">
        <v>64</v>
      </c>
      <c r="D109" s="47" t="s">
        <v>7887</v>
      </c>
      <c r="E109" s="47" t="s">
        <v>6384</v>
      </c>
      <c r="F109" s="47" t="s">
        <v>7763</v>
      </c>
      <c r="G109" s="195">
        <v>46305</v>
      </c>
      <c r="H109" s="47" t="s">
        <v>7769</v>
      </c>
      <c r="I109" s="47" t="s">
        <v>7765</v>
      </c>
      <c r="J109" s="47"/>
    </row>
    <row r="110" spans="2:10" ht="14.5">
      <c r="B110" s="47" t="s">
        <v>6400</v>
      </c>
      <c r="C110" s="47" t="s">
        <v>64</v>
      </c>
      <c r="D110" s="47" t="s">
        <v>7888</v>
      </c>
      <c r="E110" s="47" t="s">
        <v>6399</v>
      </c>
      <c r="F110" s="47" t="s">
        <v>7763</v>
      </c>
      <c r="G110" s="195">
        <v>46328</v>
      </c>
      <c r="H110" s="47" t="s">
        <v>7769</v>
      </c>
      <c r="I110" s="47" t="s">
        <v>7765</v>
      </c>
      <c r="J110" s="47" t="s">
        <v>6399</v>
      </c>
    </row>
    <row r="111" spans="2:10" ht="14.5">
      <c r="B111" s="47" t="s">
        <v>5941</v>
      </c>
      <c r="C111" s="47" t="s">
        <v>64</v>
      </c>
      <c r="D111" s="47" t="s">
        <v>7889</v>
      </c>
      <c r="E111" s="47" t="s">
        <v>5937</v>
      </c>
      <c r="F111" s="47" t="s">
        <v>7763</v>
      </c>
      <c r="G111" s="195">
        <v>46309</v>
      </c>
      <c r="H111" s="47" t="s">
        <v>7769</v>
      </c>
      <c r="I111" s="47" t="s">
        <v>7765</v>
      </c>
      <c r="J111" s="47" t="s">
        <v>5937</v>
      </c>
    </row>
    <row r="112" spans="2:10" ht="14.5">
      <c r="B112" s="47" t="s">
        <v>6086</v>
      </c>
      <c r="C112" s="47" t="s">
        <v>64</v>
      </c>
      <c r="D112" s="47" t="s">
        <v>7890</v>
      </c>
      <c r="E112" s="47" t="s">
        <v>6085</v>
      </c>
      <c r="F112" s="47" t="s">
        <v>7763</v>
      </c>
      <c r="G112" s="195">
        <v>46320</v>
      </c>
      <c r="H112" s="47" t="s">
        <v>7769</v>
      </c>
      <c r="I112" s="47" t="s">
        <v>7765</v>
      </c>
      <c r="J112" s="47" t="s">
        <v>6085</v>
      </c>
    </row>
    <row r="113" spans="2:10" ht="14.5">
      <c r="B113" s="47" t="s">
        <v>6092</v>
      </c>
      <c r="C113" s="47" t="s">
        <v>64</v>
      </c>
      <c r="D113" s="47" t="s">
        <v>7891</v>
      </c>
      <c r="E113" s="47" t="s">
        <v>6091</v>
      </c>
      <c r="F113" s="47" t="s">
        <v>7763</v>
      </c>
      <c r="G113" s="195">
        <v>46320</v>
      </c>
      <c r="H113" s="47" t="s">
        <v>7769</v>
      </c>
      <c r="I113" s="47" t="s">
        <v>7765</v>
      </c>
      <c r="J113" s="47" t="s">
        <v>6091</v>
      </c>
    </row>
    <row r="114" spans="2:10" ht="14.5">
      <c r="B114" s="47" t="s">
        <v>6090</v>
      </c>
      <c r="C114" s="47" t="s">
        <v>64</v>
      </c>
      <c r="D114" s="47" t="s">
        <v>7892</v>
      </c>
      <c r="E114" s="47" t="s">
        <v>6089</v>
      </c>
      <c r="F114" s="47" t="s">
        <v>7763</v>
      </c>
      <c r="G114" s="195">
        <v>46320</v>
      </c>
      <c r="H114" s="47" t="s">
        <v>7769</v>
      </c>
      <c r="I114" s="47" t="s">
        <v>7765</v>
      </c>
      <c r="J114" s="47" t="s">
        <v>6089</v>
      </c>
    </row>
    <row r="115" spans="2:10" ht="14.5">
      <c r="B115" s="47" t="s">
        <v>6402</v>
      </c>
      <c r="C115" s="47" t="s">
        <v>64</v>
      </c>
      <c r="D115" s="47" t="s">
        <v>7893</v>
      </c>
      <c r="E115" s="47" t="s">
        <v>6401</v>
      </c>
      <c r="F115" s="47" t="s">
        <v>7763</v>
      </c>
      <c r="G115" s="195">
        <v>46328</v>
      </c>
      <c r="H115" s="47" t="s">
        <v>7769</v>
      </c>
      <c r="I115" s="47" t="s">
        <v>7765</v>
      </c>
      <c r="J115" s="47" t="s">
        <v>6401</v>
      </c>
    </row>
    <row r="116" spans="2:10" ht="14.5">
      <c r="B116" s="47" t="s">
        <v>5945</v>
      </c>
      <c r="C116" s="47" t="s">
        <v>64</v>
      </c>
      <c r="D116" s="47" t="s">
        <v>7894</v>
      </c>
      <c r="E116" s="47" t="s">
        <v>5944</v>
      </c>
      <c r="F116" s="47" t="s">
        <v>7763</v>
      </c>
      <c r="G116" s="195">
        <v>46309</v>
      </c>
      <c r="H116" s="47" t="s">
        <v>7769</v>
      </c>
      <c r="I116" s="47" t="s">
        <v>7765</v>
      </c>
      <c r="J116" s="47" t="s">
        <v>5944</v>
      </c>
    </row>
    <row r="117" spans="2:10" ht="14.5">
      <c r="B117" s="47" t="s">
        <v>6239</v>
      </c>
      <c r="C117" s="47" t="s">
        <v>7761</v>
      </c>
      <c r="D117" s="47" t="s">
        <v>7895</v>
      </c>
      <c r="E117" s="47" t="s">
        <v>6237</v>
      </c>
      <c r="F117" s="47" t="s">
        <v>7763</v>
      </c>
      <c r="G117" s="195">
        <v>46298</v>
      </c>
      <c r="H117" s="47" t="s">
        <v>7764</v>
      </c>
      <c r="I117" s="47" t="s">
        <v>7765</v>
      </c>
      <c r="J117" s="47" t="s">
        <v>6237</v>
      </c>
    </row>
    <row r="118" spans="2:10" ht="14.5">
      <c r="B118" s="47" t="s">
        <v>6064</v>
      </c>
      <c r="C118" s="47" t="s">
        <v>64</v>
      </c>
      <c r="D118" s="47" t="s">
        <v>7896</v>
      </c>
      <c r="E118" s="47" t="s">
        <v>6063</v>
      </c>
      <c r="F118" s="47" t="s">
        <v>7763</v>
      </c>
      <c r="G118" s="195">
        <v>46316</v>
      </c>
      <c r="H118" s="47" t="s">
        <v>7769</v>
      </c>
      <c r="I118" s="47" t="s">
        <v>7765</v>
      </c>
      <c r="J118" s="47" t="s">
        <v>6063</v>
      </c>
    </row>
    <row r="119" spans="2:10" ht="14.5">
      <c r="B119" s="47" t="s">
        <v>5934</v>
      </c>
      <c r="C119" s="47" t="s">
        <v>64</v>
      </c>
      <c r="D119" s="47" t="s">
        <v>7897</v>
      </c>
      <c r="E119" s="47" t="s">
        <v>5933</v>
      </c>
      <c r="F119" s="47" t="s">
        <v>7763</v>
      </c>
      <c r="G119" s="195">
        <v>46309</v>
      </c>
      <c r="H119" s="47" t="s">
        <v>7769</v>
      </c>
      <c r="I119" s="47" t="s">
        <v>7765</v>
      </c>
      <c r="J119" s="47" t="s">
        <v>5933</v>
      </c>
    </row>
    <row r="120" spans="2:10" ht="14.5">
      <c r="B120" s="47" t="s">
        <v>6368</v>
      </c>
      <c r="C120" s="47" t="s">
        <v>7761</v>
      </c>
      <c r="D120" s="47" t="s">
        <v>7898</v>
      </c>
      <c r="E120" s="47" t="s">
        <v>6366</v>
      </c>
      <c r="F120" s="47" t="s">
        <v>7763</v>
      </c>
      <c r="G120" s="195">
        <v>46316</v>
      </c>
      <c r="H120" s="47" t="s">
        <v>7764</v>
      </c>
      <c r="I120" s="47" t="s">
        <v>7765</v>
      </c>
      <c r="J120" s="47" t="s">
        <v>6366</v>
      </c>
    </row>
    <row r="121" spans="2:10" ht="14.5">
      <c r="B121" s="47" t="s">
        <v>6209</v>
      </c>
      <c r="C121" s="47" t="s">
        <v>7761</v>
      </c>
      <c r="D121" s="47" t="s">
        <v>7899</v>
      </c>
      <c r="E121" s="47" t="s">
        <v>6205</v>
      </c>
      <c r="F121" s="47" t="s">
        <v>7763</v>
      </c>
      <c r="G121" s="195">
        <v>46305</v>
      </c>
      <c r="H121" s="47" t="s">
        <v>7764</v>
      </c>
      <c r="I121" s="47" t="s">
        <v>7765</v>
      </c>
      <c r="J121" s="47" t="s">
        <v>6205</v>
      </c>
    </row>
    <row r="122" spans="2:10" ht="14.5">
      <c r="B122" s="47" t="s">
        <v>6003</v>
      </c>
      <c r="C122" s="47" t="s">
        <v>7761</v>
      </c>
      <c r="D122" s="47" t="s">
        <v>7900</v>
      </c>
      <c r="E122" s="47" t="s">
        <v>6002</v>
      </c>
      <c r="F122" s="47" t="s">
        <v>7763</v>
      </c>
      <c r="G122" s="195">
        <v>46287</v>
      </c>
      <c r="H122" s="47" t="s">
        <v>7764</v>
      </c>
      <c r="I122" s="47" t="s">
        <v>7765</v>
      </c>
      <c r="J122" s="47" t="s">
        <v>6002</v>
      </c>
    </row>
    <row r="123" spans="2:10" ht="14.5">
      <c r="B123" s="47" t="s">
        <v>5335</v>
      </c>
      <c r="C123" s="47" t="s">
        <v>64</v>
      </c>
      <c r="D123" s="47" t="s">
        <v>7901</v>
      </c>
      <c r="E123" s="47"/>
      <c r="F123" s="47" t="s">
        <v>7763</v>
      </c>
      <c r="G123" s="195">
        <v>46267</v>
      </c>
      <c r="H123" s="47" t="s">
        <v>7769</v>
      </c>
      <c r="I123" s="47" t="s">
        <v>7765</v>
      </c>
      <c r="J123" s="47" t="s">
        <v>7902</v>
      </c>
    </row>
    <row r="124" spans="2:10" ht="14.5">
      <c r="B124" s="47" t="s">
        <v>6103</v>
      </c>
      <c r="C124" s="47" t="s">
        <v>64</v>
      </c>
      <c r="D124" s="47" t="s">
        <v>7903</v>
      </c>
      <c r="E124" s="47" t="s">
        <v>6102</v>
      </c>
      <c r="F124" s="47" t="s">
        <v>7763</v>
      </c>
      <c r="G124" s="195">
        <v>46303</v>
      </c>
      <c r="H124" s="47" t="s">
        <v>7769</v>
      </c>
      <c r="I124" s="47" t="s">
        <v>7765</v>
      </c>
      <c r="J124" s="47" t="s">
        <v>6102</v>
      </c>
    </row>
    <row r="125" spans="2:10" ht="14.5">
      <c r="B125" s="47" t="s">
        <v>5991</v>
      </c>
      <c r="C125" s="47" t="s">
        <v>64</v>
      </c>
      <c r="D125" s="47" t="s">
        <v>7904</v>
      </c>
      <c r="E125" s="47" t="s">
        <v>5990</v>
      </c>
      <c r="F125" s="47" t="s">
        <v>7763</v>
      </c>
      <c r="G125" s="195">
        <v>46309</v>
      </c>
      <c r="H125" s="47" t="s">
        <v>7769</v>
      </c>
      <c r="I125" s="47" t="s">
        <v>7765</v>
      </c>
      <c r="J125" s="47" t="s">
        <v>5990</v>
      </c>
    </row>
    <row r="126" spans="2:10" ht="14.5">
      <c r="B126" s="47" t="s">
        <v>5849</v>
      </c>
      <c r="C126" s="47" t="s">
        <v>64</v>
      </c>
      <c r="D126" s="47" t="s">
        <v>7905</v>
      </c>
      <c r="E126" s="47" t="s">
        <v>5844</v>
      </c>
      <c r="F126" s="47" t="s">
        <v>7763</v>
      </c>
      <c r="G126" s="195">
        <v>46303</v>
      </c>
      <c r="H126" s="47" t="s">
        <v>7769</v>
      </c>
      <c r="I126" s="47" t="s">
        <v>7765</v>
      </c>
      <c r="J126" s="47" t="s">
        <v>5844</v>
      </c>
    </row>
    <row r="127" spans="2:10" ht="14.5">
      <c r="B127" s="47" t="s">
        <v>5924</v>
      </c>
      <c r="C127" s="47" t="s">
        <v>7761</v>
      </c>
      <c r="D127" s="47" t="s">
        <v>7906</v>
      </c>
      <c r="E127" s="47" t="s">
        <v>5923</v>
      </c>
      <c r="F127" s="47" t="s">
        <v>7763</v>
      </c>
      <c r="G127" s="195">
        <v>46282</v>
      </c>
      <c r="H127" s="47" t="s">
        <v>7764</v>
      </c>
      <c r="I127" s="47" t="s">
        <v>7765</v>
      </c>
      <c r="J127" s="47" t="s">
        <v>5923</v>
      </c>
    </row>
    <row r="128" spans="2:10" ht="14.5">
      <c r="B128" s="47" t="s">
        <v>6021</v>
      </c>
      <c r="C128" s="47" t="s">
        <v>64</v>
      </c>
      <c r="D128" s="47" t="s">
        <v>7907</v>
      </c>
      <c r="E128" s="47" t="s">
        <v>6019</v>
      </c>
      <c r="F128" s="47" t="s">
        <v>7763</v>
      </c>
      <c r="G128" s="195">
        <v>46303</v>
      </c>
      <c r="H128" s="47" t="s">
        <v>7769</v>
      </c>
      <c r="I128" s="47" t="s">
        <v>7765</v>
      </c>
      <c r="J128" s="47" t="s">
        <v>6019</v>
      </c>
    </row>
    <row r="129" spans="2:10" ht="14.5">
      <c r="B129" s="47" t="s">
        <v>6031</v>
      </c>
      <c r="C129" s="47" t="s">
        <v>64</v>
      </c>
      <c r="D129" s="47" t="s">
        <v>7908</v>
      </c>
      <c r="E129" s="47" t="s">
        <v>6030</v>
      </c>
      <c r="F129" s="47" t="s">
        <v>7763</v>
      </c>
      <c r="G129" s="195">
        <v>46300</v>
      </c>
      <c r="H129" s="47" t="s">
        <v>7769</v>
      </c>
      <c r="I129" s="47" t="s">
        <v>7765</v>
      </c>
      <c r="J129" s="47" t="s">
        <v>6030</v>
      </c>
    </row>
    <row r="130" spans="2:10" ht="14.5">
      <c r="B130" s="47" t="s">
        <v>5832</v>
      </c>
      <c r="C130" s="47" t="s">
        <v>7761</v>
      </c>
      <c r="D130" s="47" t="s">
        <v>7909</v>
      </c>
      <c r="E130" s="47" t="s">
        <v>5831</v>
      </c>
      <c r="F130" s="47" t="s">
        <v>7763</v>
      </c>
      <c r="G130" s="195">
        <v>46315</v>
      </c>
      <c r="H130" s="47" t="s">
        <v>7764</v>
      </c>
      <c r="I130" s="47" t="s">
        <v>7765</v>
      </c>
      <c r="J130" s="47" t="s">
        <v>5831</v>
      </c>
    </row>
    <row r="131" spans="2:10" ht="14.5">
      <c r="B131" s="47" t="s">
        <v>7910</v>
      </c>
      <c r="C131" s="47" t="s">
        <v>64</v>
      </c>
      <c r="D131" s="47" t="s">
        <v>7790</v>
      </c>
      <c r="E131" s="47" t="s">
        <v>6052</v>
      </c>
      <c r="F131" s="47" t="s">
        <v>7763</v>
      </c>
      <c r="G131" s="195">
        <v>46300</v>
      </c>
      <c r="H131" s="47" t="s">
        <v>7911</v>
      </c>
      <c r="I131" s="47" t="s">
        <v>7765</v>
      </c>
      <c r="J131" s="47" t="s">
        <v>6052</v>
      </c>
    </row>
    <row r="132" spans="2:10" ht="14.5">
      <c r="B132" s="47" t="s">
        <v>6049</v>
      </c>
      <c r="C132" s="47" t="s">
        <v>64</v>
      </c>
      <c r="D132" s="47" t="s">
        <v>7912</v>
      </c>
      <c r="E132" s="47" t="s">
        <v>6048</v>
      </c>
      <c r="F132" s="47" t="s">
        <v>7763</v>
      </c>
      <c r="G132" s="195">
        <v>46300</v>
      </c>
      <c r="H132" s="47" t="s">
        <v>7769</v>
      </c>
      <c r="I132" s="47" t="s">
        <v>7765</v>
      </c>
      <c r="J132" s="47" t="s">
        <v>6048</v>
      </c>
    </row>
    <row r="133" spans="2:10" ht="14.5">
      <c r="B133" s="47" t="s">
        <v>6029</v>
      </c>
      <c r="C133" s="47" t="s">
        <v>64</v>
      </c>
      <c r="D133" s="47" t="s">
        <v>7913</v>
      </c>
      <c r="E133" s="47" t="s">
        <v>6028</v>
      </c>
      <c r="F133" s="47" t="s">
        <v>7763</v>
      </c>
      <c r="G133" s="195">
        <v>46300</v>
      </c>
      <c r="H133" s="47" t="s">
        <v>7769</v>
      </c>
      <c r="I133" s="47" t="s">
        <v>7765</v>
      </c>
      <c r="J133" s="47" t="s">
        <v>6028</v>
      </c>
    </row>
    <row r="134" spans="2:10" ht="14.5">
      <c r="B134" s="47" t="s">
        <v>6025</v>
      </c>
      <c r="C134" s="47" t="s">
        <v>64</v>
      </c>
      <c r="D134" s="47" t="s">
        <v>7914</v>
      </c>
      <c r="E134" s="47" t="s">
        <v>6024</v>
      </c>
      <c r="F134" s="47" t="s">
        <v>7763</v>
      </c>
      <c r="G134" s="195">
        <v>46300</v>
      </c>
      <c r="H134" s="47" t="s">
        <v>7769</v>
      </c>
      <c r="I134" s="47" t="s">
        <v>7765</v>
      </c>
      <c r="J134" s="47" t="s">
        <v>6024</v>
      </c>
    </row>
    <row r="135" spans="2:10" ht="14.5">
      <c r="B135" s="47" t="s">
        <v>6301</v>
      </c>
      <c r="C135" s="47" t="s">
        <v>7761</v>
      </c>
      <c r="D135" s="47" t="s">
        <v>7915</v>
      </c>
      <c r="E135" s="47" t="s">
        <v>6300</v>
      </c>
      <c r="F135" s="47" t="s">
        <v>7763</v>
      </c>
      <c r="G135" s="195">
        <v>46295</v>
      </c>
      <c r="H135" s="47" t="s">
        <v>7764</v>
      </c>
      <c r="I135" s="47" t="s">
        <v>7765</v>
      </c>
      <c r="J135" s="47" t="s">
        <v>6300</v>
      </c>
    </row>
    <row r="136" spans="2:10" ht="14.5">
      <c r="B136" s="47" t="s">
        <v>5984</v>
      </c>
      <c r="C136" s="47" t="s">
        <v>64</v>
      </c>
      <c r="D136" s="47" t="s">
        <v>7916</v>
      </c>
      <c r="E136" s="47" t="s">
        <v>5983</v>
      </c>
      <c r="F136" s="47" t="s">
        <v>7763</v>
      </c>
      <c r="G136" s="195">
        <v>46309</v>
      </c>
      <c r="H136" s="47" t="s">
        <v>7769</v>
      </c>
      <c r="I136" s="47" t="s">
        <v>7765</v>
      </c>
      <c r="J136" s="47" t="s">
        <v>5983</v>
      </c>
    </row>
    <row r="137" spans="2:10" ht="14.5">
      <c r="B137" s="47" t="s">
        <v>5989</v>
      </c>
      <c r="C137" s="47" t="s">
        <v>64</v>
      </c>
      <c r="D137" s="47" t="s">
        <v>7917</v>
      </c>
      <c r="E137" s="47" t="s">
        <v>5988</v>
      </c>
      <c r="F137" s="47" t="s">
        <v>7763</v>
      </c>
      <c r="G137" s="195">
        <v>46309</v>
      </c>
      <c r="H137" s="47" t="s">
        <v>7769</v>
      </c>
      <c r="I137" s="47" t="s">
        <v>7765</v>
      </c>
      <c r="J137" s="47" t="s">
        <v>5988</v>
      </c>
    </row>
    <row r="138" spans="2:10" ht="14.5">
      <c r="B138" s="47" t="s">
        <v>6143</v>
      </c>
      <c r="C138" s="47" t="s">
        <v>64</v>
      </c>
      <c r="D138" s="47" t="s">
        <v>7918</v>
      </c>
      <c r="E138" s="47" t="s">
        <v>6142</v>
      </c>
      <c r="F138" s="47" t="s">
        <v>7763</v>
      </c>
      <c r="G138" s="195">
        <v>46311</v>
      </c>
      <c r="H138" s="47" t="s">
        <v>7769</v>
      </c>
      <c r="I138" s="47" t="s">
        <v>7765</v>
      </c>
      <c r="J138" s="47" t="s">
        <v>6142</v>
      </c>
    </row>
    <row r="139" spans="2:10" ht="14.5">
      <c r="B139" s="47" t="s">
        <v>5994</v>
      </c>
      <c r="C139" s="47" t="s">
        <v>64</v>
      </c>
      <c r="D139" s="47" t="s">
        <v>7919</v>
      </c>
      <c r="E139" s="47" t="s">
        <v>5993</v>
      </c>
      <c r="F139" s="47" t="s">
        <v>7763</v>
      </c>
      <c r="G139" s="195">
        <v>46309</v>
      </c>
      <c r="H139" s="47" t="s">
        <v>7769</v>
      </c>
      <c r="I139" s="47" t="s">
        <v>7765</v>
      </c>
      <c r="J139" s="47" t="s">
        <v>5993</v>
      </c>
    </row>
    <row r="140" spans="2:10" ht="14.5">
      <c r="B140" s="47" t="s">
        <v>6148</v>
      </c>
      <c r="C140" s="47" t="s">
        <v>64</v>
      </c>
      <c r="D140" s="47" t="s">
        <v>7920</v>
      </c>
      <c r="E140" s="47" t="s">
        <v>6147</v>
      </c>
      <c r="F140" s="47" t="s">
        <v>7763</v>
      </c>
      <c r="G140" s="195">
        <v>46305</v>
      </c>
      <c r="H140" s="47" t="s">
        <v>7769</v>
      </c>
      <c r="I140" s="47" t="s">
        <v>7765</v>
      </c>
      <c r="J140" s="47" t="s">
        <v>6147</v>
      </c>
    </row>
    <row r="141" spans="2:10" ht="14.5">
      <c r="B141" s="47" t="s">
        <v>6153</v>
      </c>
      <c r="C141" s="47" t="s">
        <v>64</v>
      </c>
      <c r="D141" s="47" t="s">
        <v>7921</v>
      </c>
      <c r="E141" s="47" t="s">
        <v>6152</v>
      </c>
      <c r="F141" s="47" t="s">
        <v>7763</v>
      </c>
      <c r="G141" s="195">
        <v>46305</v>
      </c>
      <c r="H141" s="47" t="s">
        <v>7769</v>
      </c>
      <c r="I141" s="47" t="s">
        <v>7765</v>
      </c>
      <c r="J141" s="47" t="s">
        <v>6152</v>
      </c>
    </row>
    <row r="142" spans="2:10" ht="14.5">
      <c r="B142" s="47" t="s">
        <v>6155</v>
      </c>
      <c r="C142" s="47" t="s">
        <v>64</v>
      </c>
      <c r="D142" s="47" t="s">
        <v>7922</v>
      </c>
      <c r="E142" s="47" t="s">
        <v>6154</v>
      </c>
      <c r="F142" s="47" t="s">
        <v>7763</v>
      </c>
      <c r="G142" s="195">
        <v>46305</v>
      </c>
      <c r="H142" s="47" t="s">
        <v>7769</v>
      </c>
      <c r="I142" s="47" t="s">
        <v>7765</v>
      </c>
      <c r="J142" s="47" t="s">
        <v>6154</v>
      </c>
    </row>
    <row r="143" spans="2:10" ht="14.5">
      <c r="B143" s="47" t="s">
        <v>6166</v>
      </c>
      <c r="C143" s="47" t="s">
        <v>64</v>
      </c>
      <c r="D143" s="47" t="s">
        <v>7923</v>
      </c>
      <c r="E143" s="47" t="s">
        <v>6165</v>
      </c>
      <c r="F143" s="47" t="s">
        <v>7763</v>
      </c>
      <c r="G143" s="195">
        <v>46312</v>
      </c>
      <c r="H143" s="47" t="s">
        <v>7769</v>
      </c>
      <c r="I143" s="47" t="s">
        <v>7765</v>
      </c>
      <c r="J143" s="47" t="s">
        <v>6165</v>
      </c>
    </row>
    <row r="144" spans="2:10" ht="14.5">
      <c r="B144" s="47" t="s">
        <v>6109</v>
      </c>
      <c r="C144" s="47" t="s">
        <v>64</v>
      </c>
      <c r="D144" s="47" t="s">
        <v>7924</v>
      </c>
      <c r="E144" s="47" t="s">
        <v>6107</v>
      </c>
      <c r="F144" s="47" t="s">
        <v>7763</v>
      </c>
      <c r="G144" s="195">
        <v>46309</v>
      </c>
      <c r="H144" s="47" t="s">
        <v>7769</v>
      </c>
      <c r="I144" s="47" t="s">
        <v>7765</v>
      </c>
      <c r="J144" s="47" t="s">
        <v>6107</v>
      </c>
    </row>
    <row r="145" spans="2:10" ht="14.5">
      <c r="B145" s="47" t="s">
        <v>6116</v>
      </c>
      <c r="C145" s="47" t="s">
        <v>64</v>
      </c>
      <c r="D145" s="47" t="s">
        <v>7925</v>
      </c>
      <c r="E145" s="47" t="s">
        <v>6114</v>
      </c>
      <c r="F145" s="47" t="s">
        <v>7763</v>
      </c>
      <c r="G145" s="195">
        <v>46309</v>
      </c>
      <c r="H145" s="47" t="s">
        <v>7769</v>
      </c>
      <c r="I145" s="47" t="s">
        <v>7765</v>
      </c>
      <c r="J145" s="47" t="s">
        <v>6114</v>
      </c>
    </row>
    <row r="146" spans="2:10" ht="14.5">
      <c r="B146" s="47" t="s">
        <v>6118</v>
      </c>
      <c r="C146" s="47" t="s">
        <v>64</v>
      </c>
      <c r="D146" s="47" t="s">
        <v>7926</v>
      </c>
      <c r="E146" s="47" t="s">
        <v>6117</v>
      </c>
      <c r="F146" s="47" t="s">
        <v>7763</v>
      </c>
      <c r="G146" s="195">
        <v>46309</v>
      </c>
      <c r="H146" s="47" t="s">
        <v>7769</v>
      </c>
      <c r="I146" s="47" t="s">
        <v>7765</v>
      </c>
      <c r="J146" s="47" t="s">
        <v>6117</v>
      </c>
    </row>
    <row r="147" spans="2:10" ht="14.5">
      <c r="B147" s="47" t="s">
        <v>6120</v>
      </c>
      <c r="C147" s="47" t="s">
        <v>64</v>
      </c>
      <c r="D147" s="47" t="s">
        <v>7927</v>
      </c>
      <c r="E147" s="47" t="s">
        <v>6119</v>
      </c>
      <c r="F147" s="47" t="s">
        <v>7763</v>
      </c>
      <c r="G147" s="195">
        <v>46309</v>
      </c>
      <c r="H147" s="47" t="s">
        <v>7769</v>
      </c>
      <c r="I147" s="47" t="s">
        <v>7765</v>
      </c>
      <c r="J147" s="47" t="s">
        <v>6119</v>
      </c>
    </row>
    <row r="148" spans="2:10" ht="14.5">
      <c r="B148" s="47" t="s">
        <v>6124</v>
      </c>
      <c r="C148" s="47" t="s">
        <v>64</v>
      </c>
      <c r="D148" s="47" t="s">
        <v>7928</v>
      </c>
      <c r="E148" s="47" t="s">
        <v>6123</v>
      </c>
      <c r="F148" s="47" t="s">
        <v>7763</v>
      </c>
      <c r="G148" s="195">
        <v>46309</v>
      </c>
      <c r="H148" s="47" t="s">
        <v>7769</v>
      </c>
      <c r="I148" s="47" t="s">
        <v>7765</v>
      </c>
      <c r="J148" s="47" t="s">
        <v>6123</v>
      </c>
    </row>
    <row r="149" spans="2:10" ht="14.5">
      <c r="B149" s="47" t="s">
        <v>6127</v>
      </c>
      <c r="C149" s="47" t="s">
        <v>64</v>
      </c>
      <c r="D149" s="47" t="s">
        <v>7929</v>
      </c>
      <c r="E149" s="47" t="s">
        <v>6125</v>
      </c>
      <c r="F149" s="47" t="s">
        <v>7763</v>
      </c>
      <c r="G149" s="195">
        <v>46309</v>
      </c>
      <c r="H149" s="47" t="s">
        <v>7769</v>
      </c>
      <c r="I149" s="47" t="s">
        <v>7765</v>
      </c>
      <c r="J149" s="47" t="s">
        <v>6125</v>
      </c>
    </row>
    <row r="150" spans="2:10" ht="14.5">
      <c r="B150" s="47" t="s">
        <v>6391</v>
      </c>
      <c r="C150" s="47" t="s">
        <v>64</v>
      </c>
      <c r="D150" s="47" t="s">
        <v>7930</v>
      </c>
      <c r="E150" s="47" t="s">
        <v>6390</v>
      </c>
      <c r="F150" s="47" t="s">
        <v>7763</v>
      </c>
      <c r="G150" s="195">
        <v>46304</v>
      </c>
      <c r="H150" s="47" t="s">
        <v>7769</v>
      </c>
      <c r="I150" s="47" t="s">
        <v>7765</v>
      </c>
      <c r="J150" s="47" t="s">
        <v>6390</v>
      </c>
    </row>
    <row r="151" spans="2:10" ht="14.5">
      <c r="B151" s="47" t="s">
        <v>6160</v>
      </c>
      <c r="C151" s="47" t="s">
        <v>64</v>
      </c>
      <c r="D151" s="47" t="s">
        <v>7931</v>
      </c>
      <c r="E151" s="47" t="s">
        <v>6159</v>
      </c>
      <c r="F151" s="47" t="s">
        <v>7763</v>
      </c>
      <c r="G151" s="195">
        <v>46312</v>
      </c>
      <c r="H151" s="47" t="s">
        <v>7769</v>
      </c>
      <c r="I151" s="47" t="s">
        <v>7765</v>
      </c>
      <c r="J151" s="47" t="s">
        <v>6159</v>
      </c>
    </row>
    <row r="152" spans="2:10" ht="14.5">
      <c r="B152" s="47" t="s">
        <v>6354</v>
      </c>
      <c r="C152" s="47" t="s">
        <v>64</v>
      </c>
      <c r="D152" s="47" t="s">
        <v>7932</v>
      </c>
      <c r="E152" s="47" t="s">
        <v>6353</v>
      </c>
      <c r="F152" s="47" t="s">
        <v>7763</v>
      </c>
      <c r="G152" s="195">
        <v>46312</v>
      </c>
      <c r="H152" s="47" t="s">
        <v>7769</v>
      </c>
      <c r="I152" s="47" t="s">
        <v>7765</v>
      </c>
      <c r="J152" s="47" t="s">
        <v>6353</v>
      </c>
    </row>
    <row r="153" spans="2:10" ht="14.5">
      <c r="B153" s="47" t="s">
        <v>6138</v>
      </c>
      <c r="C153" s="47" t="s">
        <v>64</v>
      </c>
      <c r="D153" s="47" t="s">
        <v>7933</v>
      </c>
      <c r="E153" s="47" t="s">
        <v>6137</v>
      </c>
      <c r="F153" s="47" t="s">
        <v>7763</v>
      </c>
      <c r="G153" s="195">
        <v>46321</v>
      </c>
      <c r="H153" s="47" t="s">
        <v>7769</v>
      </c>
      <c r="I153" s="47" t="s">
        <v>7765</v>
      </c>
      <c r="J153" s="47" t="s">
        <v>6137</v>
      </c>
    </row>
    <row r="154" spans="2:10" ht="14.5">
      <c r="B154" s="47" t="s">
        <v>6170</v>
      </c>
      <c r="C154" s="47" t="s">
        <v>64</v>
      </c>
      <c r="D154" s="47" t="s">
        <v>7934</v>
      </c>
      <c r="E154" s="47" t="s">
        <v>6169</v>
      </c>
      <c r="F154" s="47" t="s">
        <v>7763</v>
      </c>
      <c r="G154" s="195">
        <v>46312</v>
      </c>
      <c r="H154" s="47" t="s">
        <v>7769</v>
      </c>
      <c r="I154" s="47" t="s">
        <v>7765</v>
      </c>
      <c r="J154" s="47" t="s">
        <v>6169</v>
      </c>
    </row>
    <row r="155" spans="2:10" ht="14.5">
      <c r="B155" s="47" t="s">
        <v>6359</v>
      </c>
      <c r="C155" s="47" t="s">
        <v>64</v>
      </c>
      <c r="D155" s="47" t="s">
        <v>7935</v>
      </c>
      <c r="E155" s="47" t="s">
        <v>6358</v>
      </c>
      <c r="F155" s="47" t="s">
        <v>7763</v>
      </c>
      <c r="G155" s="195">
        <v>46312</v>
      </c>
      <c r="H155" s="47" t="s">
        <v>7769</v>
      </c>
      <c r="I155" s="47" t="s">
        <v>7765</v>
      </c>
      <c r="J155" s="47" t="s">
        <v>6358</v>
      </c>
    </row>
    <row r="156" spans="2:10" ht="14.5">
      <c r="B156" s="47" t="s">
        <v>6129</v>
      </c>
      <c r="C156" s="47" t="s">
        <v>64</v>
      </c>
      <c r="D156" s="47" t="s">
        <v>7936</v>
      </c>
      <c r="E156" s="47" t="s">
        <v>6128</v>
      </c>
      <c r="F156" s="47" t="s">
        <v>7763</v>
      </c>
      <c r="G156" s="195">
        <v>46314</v>
      </c>
      <c r="H156" s="47" t="s">
        <v>7769</v>
      </c>
      <c r="I156" s="47" t="s">
        <v>7765</v>
      </c>
      <c r="J156" s="47" t="s">
        <v>6128</v>
      </c>
    </row>
    <row r="157" spans="2:10" ht="14.5">
      <c r="B157" s="47" t="s">
        <v>5839</v>
      </c>
      <c r="C157" s="47" t="s">
        <v>7761</v>
      </c>
      <c r="D157" s="47" t="s">
        <v>7937</v>
      </c>
      <c r="E157" s="47" t="s">
        <v>5837</v>
      </c>
      <c r="F157" s="47" t="s">
        <v>7763</v>
      </c>
      <c r="G157" s="195">
        <v>46296</v>
      </c>
      <c r="H157" s="47" t="s">
        <v>7764</v>
      </c>
      <c r="I157" s="47" t="s">
        <v>7765</v>
      </c>
      <c r="J157" s="47" t="s">
        <v>5837</v>
      </c>
    </row>
    <row r="158" spans="2:10" ht="14.5">
      <c r="B158" s="47" t="s">
        <v>6062</v>
      </c>
      <c r="C158" s="47" t="s">
        <v>64</v>
      </c>
      <c r="D158" s="47" t="s">
        <v>7938</v>
      </c>
      <c r="E158" s="47" t="s">
        <v>6061</v>
      </c>
      <c r="F158" s="47" t="s">
        <v>7763</v>
      </c>
      <c r="G158" s="195">
        <v>46302</v>
      </c>
      <c r="H158" s="47" t="s">
        <v>7769</v>
      </c>
      <c r="I158" s="47" t="s">
        <v>7765</v>
      </c>
      <c r="J158" s="47" t="s">
        <v>6061</v>
      </c>
    </row>
    <row r="159" spans="2:10" ht="14.5">
      <c r="B159" s="47" t="s">
        <v>6158</v>
      </c>
      <c r="C159" s="47" t="s">
        <v>64</v>
      </c>
      <c r="D159" s="47" t="s">
        <v>7939</v>
      </c>
      <c r="E159" s="47" t="s">
        <v>6156</v>
      </c>
      <c r="F159" s="47" t="s">
        <v>7763</v>
      </c>
      <c r="G159" s="195">
        <v>46305</v>
      </c>
      <c r="H159" s="47" t="s">
        <v>7769</v>
      </c>
      <c r="I159" s="47" t="s">
        <v>7765</v>
      </c>
      <c r="J159" s="47" t="s">
        <v>6156</v>
      </c>
    </row>
    <row r="160" spans="2:10" ht="14.5">
      <c r="B160" s="47" t="s">
        <v>6057</v>
      </c>
      <c r="C160" s="47" t="s">
        <v>64</v>
      </c>
      <c r="D160" s="47" t="s">
        <v>7940</v>
      </c>
      <c r="E160" s="47" t="s">
        <v>6056</v>
      </c>
      <c r="F160" s="47" t="s">
        <v>7763</v>
      </c>
      <c r="G160" s="195">
        <v>46302</v>
      </c>
      <c r="H160" s="47" t="s">
        <v>7769</v>
      </c>
      <c r="I160" s="47" t="s">
        <v>7765</v>
      </c>
      <c r="J160" s="47" t="s">
        <v>6056</v>
      </c>
    </row>
    <row r="161" spans="2:10" ht="14.5">
      <c r="B161" s="47" t="s">
        <v>5919</v>
      </c>
      <c r="C161" s="47" t="s">
        <v>64</v>
      </c>
      <c r="D161" s="47" t="s">
        <v>7941</v>
      </c>
      <c r="E161" s="47" t="s">
        <v>5918</v>
      </c>
      <c r="F161" s="47" t="s">
        <v>7763</v>
      </c>
      <c r="G161" s="195">
        <v>46302</v>
      </c>
      <c r="H161" s="47" t="s">
        <v>7769</v>
      </c>
      <c r="I161" s="47" t="s">
        <v>7765</v>
      </c>
      <c r="J161" s="47" t="s">
        <v>5918</v>
      </c>
    </row>
    <row r="162" spans="2:10" ht="14.5">
      <c r="B162" s="47" t="s">
        <v>6101</v>
      </c>
      <c r="C162" s="47" t="s">
        <v>64</v>
      </c>
      <c r="D162" s="47" t="s">
        <v>7942</v>
      </c>
      <c r="E162" s="47" t="s">
        <v>6100</v>
      </c>
      <c r="F162" s="47" t="s">
        <v>7763</v>
      </c>
      <c r="G162" s="195">
        <v>46315</v>
      </c>
      <c r="H162" s="47" t="s">
        <v>7769</v>
      </c>
      <c r="I162" s="47" t="s">
        <v>7765</v>
      </c>
      <c r="J162" s="47" t="s">
        <v>6100</v>
      </c>
    </row>
    <row r="163" spans="2:10" ht="14.5">
      <c r="B163" s="47" t="s">
        <v>6023</v>
      </c>
      <c r="C163" s="47" t="s">
        <v>64</v>
      </c>
      <c r="D163" s="47" t="s">
        <v>7943</v>
      </c>
      <c r="E163" s="47" t="s">
        <v>6022</v>
      </c>
      <c r="F163" s="47" t="s">
        <v>7763</v>
      </c>
      <c r="G163" s="195">
        <v>46303</v>
      </c>
      <c r="H163" s="47" t="s">
        <v>7769</v>
      </c>
      <c r="I163" s="47" t="s">
        <v>7765</v>
      </c>
      <c r="J163" s="47" t="s">
        <v>6022</v>
      </c>
    </row>
    <row r="164" spans="2:10" ht="14.5">
      <c r="B164" s="47" t="s">
        <v>6096</v>
      </c>
      <c r="C164" s="47" t="s">
        <v>64</v>
      </c>
      <c r="D164" s="47" t="s">
        <v>7944</v>
      </c>
      <c r="E164" s="47" t="s">
        <v>6095</v>
      </c>
      <c r="F164" s="47" t="s">
        <v>7763</v>
      </c>
      <c r="G164" s="195">
        <v>46315</v>
      </c>
      <c r="H164" s="47" t="s">
        <v>7769</v>
      </c>
      <c r="I164" s="47" t="s">
        <v>7765</v>
      </c>
      <c r="J164" s="47" t="s">
        <v>6095</v>
      </c>
    </row>
    <row r="165" spans="2:10" ht="14.5">
      <c r="B165" s="47" t="s">
        <v>6015</v>
      </c>
      <c r="C165" s="47" t="s">
        <v>64</v>
      </c>
      <c r="D165" s="47" t="s">
        <v>7945</v>
      </c>
      <c r="E165" s="47" t="s">
        <v>6014</v>
      </c>
      <c r="F165" s="47" t="s">
        <v>7763</v>
      </c>
      <c r="G165" s="195">
        <v>46303</v>
      </c>
      <c r="H165" s="47" t="s">
        <v>7769</v>
      </c>
      <c r="I165" s="47" t="s">
        <v>7765</v>
      </c>
      <c r="J165" s="47" t="s">
        <v>6014</v>
      </c>
    </row>
    <row r="166" spans="2:10" ht="14.5">
      <c r="B166" s="47" t="s">
        <v>7464</v>
      </c>
      <c r="C166" s="47" t="s">
        <v>64</v>
      </c>
      <c r="D166" s="47" t="s">
        <v>7946</v>
      </c>
      <c r="E166" s="47" t="s">
        <v>7947</v>
      </c>
      <c r="F166" s="47" t="s">
        <v>7810</v>
      </c>
      <c r="G166" s="195">
        <v>46303</v>
      </c>
      <c r="H166" s="47" t="s">
        <v>7769</v>
      </c>
      <c r="I166" s="47" t="s">
        <v>7765</v>
      </c>
      <c r="J166" s="47" t="s">
        <v>7948</v>
      </c>
    </row>
    <row r="167" spans="2:10" ht="14.5">
      <c r="B167" s="47" t="s">
        <v>7454</v>
      </c>
      <c r="C167" s="47" t="s">
        <v>64</v>
      </c>
      <c r="D167" s="47" t="s">
        <v>7949</v>
      </c>
      <c r="E167" s="47" t="s">
        <v>7950</v>
      </c>
      <c r="F167" s="47" t="s">
        <v>7810</v>
      </c>
      <c r="G167" s="195">
        <v>46295</v>
      </c>
      <c r="H167" s="47" t="s">
        <v>7769</v>
      </c>
      <c r="I167" s="47" t="s">
        <v>7765</v>
      </c>
      <c r="J167" s="47" t="s">
        <v>7951</v>
      </c>
    </row>
    <row r="168" spans="2:10" ht="14.5">
      <c r="B168" s="47" t="s">
        <v>7474</v>
      </c>
      <c r="C168" s="47" t="s">
        <v>64</v>
      </c>
      <c r="D168" s="47" t="s">
        <v>7952</v>
      </c>
      <c r="E168" s="47" t="s">
        <v>7953</v>
      </c>
      <c r="F168" s="47" t="s">
        <v>7810</v>
      </c>
      <c r="G168" s="195">
        <v>46303</v>
      </c>
      <c r="H168" s="47" t="s">
        <v>7769</v>
      </c>
      <c r="I168" s="47" t="s">
        <v>7765</v>
      </c>
      <c r="J168" s="47" t="s">
        <v>7954</v>
      </c>
    </row>
    <row r="169" spans="2:10" ht="14.5">
      <c r="B169" s="47" t="s">
        <v>5771</v>
      </c>
      <c r="C169" s="47" t="s">
        <v>7761</v>
      </c>
      <c r="D169" s="47" t="s">
        <v>7955</v>
      </c>
      <c r="E169" s="47" t="s">
        <v>5768</v>
      </c>
      <c r="F169" s="47" t="s">
        <v>7763</v>
      </c>
      <c r="G169" s="195">
        <v>46279</v>
      </c>
      <c r="H169" s="47" t="s">
        <v>7764</v>
      </c>
      <c r="I169" s="47" t="s">
        <v>7765</v>
      </c>
      <c r="J169" s="47" t="s">
        <v>7956</v>
      </c>
    </row>
    <row r="170" spans="2:10" ht="14.5">
      <c r="B170" s="47" t="s">
        <v>5765</v>
      </c>
      <c r="C170" s="47" t="s">
        <v>64</v>
      </c>
      <c r="D170" s="47" t="s">
        <v>7957</v>
      </c>
      <c r="E170" s="47" t="s">
        <v>5764</v>
      </c>
      <c r="F170" s="47" t="s">
        <v>7763</v>
      </c>
      <c r="G170" s="195">
        <v>46296</v>
      </c>
      <c r="H170" s="47" t="s">
        <v>7769</v>
      </c>
      <c r="I170" s="47" t="s">
        <v>7765</v>
      </c>
      <c r="J170" s="47" t="s">
        <v>5764</v>
      </c>
    </row>
    <row r="171" spans="2:10" ht="14.5">
      <c r="B171" s="47" t="s">
        <v>5739</v>
      </c>
      <c r="C171" s="47" t="s">
        <v>64</v>
      </c>
      <c r="D171" s="47" t="s">
        <v>7958</v>
      </c>
      <c r="E171" s="47" t="s">
        <v>5738</v>
      </c>
      <c r="F171" s="47" t="s">
        <v>7763</v>
      </c>
      <c r="G171" s="195">
        <v>46303</v>
      </c>
      <c r="H171" s="47" t="s">
        <v>7769</v>
      </c>
      <c r="I171" s="47" t="s">
        <v>7765</v>
      </c>
      <c r="J171" s="47" t="s">
        <v>5738</v>
      </c>
    </row>
    <row r="172" spans="2:10" ht="14.5">
      <c r="B172" s="47" t="s">
        <v>5966</v>
      </c>
      <c r="C172" s="47" t="s">
        <v>64</v>
      </c>
      <c r="D172" s="47" t="s">
        <v>7959</v>
      </c>
      <c r="E172" s="47" t="s">
        <v>5965</v>
      </c>
      <c r="F172" s="47" t="s">
        <v>7763</v>
      </c>
      <c r="G172" s="195">
        <v>46303</v>
      </c>
      <c r="H172" s="47" t="s">
        <v>7769</v>
      </c>
      <c r="I172" s="47" t="s">
        <v>7765</v>
      </c>
      <c r="J172" s="47" t="s">
        <v>5965</v>
      </c>
    </row>
    <row r="173" spans="2:10" ht="14.5">
      <c r="B173" s="47" t="s">
        <v>5962</v>
      </c>
      <c r="C173" s="47" t="s">
        <v>64</v>
      </c>
      <c r="D173" s="47" t="s">
        <v>7960</v>
      </c>
      <c r="E173" s="47" t="s">
        <v>5961</v>
      </c>
      <c r="F173" s="47" t="s">
        <v>7763</v>
      </c>
      <c r="G173" s="195">
        <v>46303</v>
      </c>
      <c r="H173" s="47" t="s">
        <v>7769</v>
      </c>
      <c r="I173" s="47" t="s">
        <v>7765</v>
      </c>
      <c r="J173" s="47" t="s">
        <v>5961</v>
      </c>
    </row>
    <row r="174" spans="2:10" ht="14.5">
      <c r="B174" s="47" t="s">
        <v>7961</v>
      </c>
      <c r="C174" s="47" t="s">
        <v>64</v>
      </c>
      <c r="D174" s="47" t="s">
        <v>7762</v>
      </c>
      <c r="E174" s="47" t="s">
        <v>5896</v>
      </c>
      <c r="F174" s="47" t="s">
        <v>7763</v>
      </c>
      <c r="G174" s="195">
        <v>46295</v>
      </c>
      <c r="H174" s="47" t="s">
        <v>7769</v>
      </c>
      <c r="I174" s="47" t="s">
        <v>7765</v>
      </c>
      <c r="J174" s="47" t="s">
        <v>5896</v>
      </c>
    </row>
    <row r="175" spans="2:10" ht="14.5">
      <c r="B175" s="47" t="s">
        <v>7962</v>
      </c>
      <c r="C175" s="47" t="s">
        <v>64</v>
      </c>
      <c r="D175" s="47" t="s">
        <v>7767</v>
      </c>
      <c r="E175" s="47" t="s">
        <v>5885</v>
      </c>
      <c r="F175" s="47" t="s">
        <v>7763</v>
      </c>
      <c r="G175" s="195">
        <v>46295</v>
      </c>
      <c r="H175" s="47" t="s">
        <v>7769</v>
      </c>
      <c r="I175" s="47" t="s">
        <v>7765</v>
      </c>
      <c r="J175" s="47" t="s">
        <v>5885</v>
      </c>
    </row>
    <row r="176" spans="2:10" ht="14.5">
      <c r="B176" s="47" t="s">
        <v>5958</v>
      </c>
      <c r="C176" s="47" t="s">
        <v>64</v>
      </c>
      <c r="D176" s="47" t="s">
        <v>7963</v>
      </c>
      <c r="E176" s="47" t="s">
        <v>5957</v>
      </c>
      <c r="F176" s="47" t="s">
        <v>7763</v>
      </c>
      <c r="G176" s="195">
        <v>46331</v>
      </c>
      <c r="H176" s="47" t="s">
        <v>7769</v>
      </c>
      <c r="I176" s="47" t="s">
        <v>7765</v>
      </c>
      <c r="J176" s="47" t="s">
        <v>5957</v>
      </c>
    </row>
    <row r="177" spans="2:10" ht="14.5">
      <c r="B177" s="47" t="s">
        <v>5862</v>
      </c>
      <c r="C177" s="47" t="s">
        <v>64</v>
      </c>
      <c r="D177" s="47" t="s">
        <v>7964</v>
      </c>
      <c r="E177" s="47" t="s">
        <v>5861</v>
      </c>
      <c r="F177" s="47" t="s">
        <v>7763</v>
      </c>
      <c r="G177" s="195">
        <v>46300</v>
      </c>
      <c r="H177" s="47" t="s">
        <v>7769</v>
      </c>
      <c r="I177" s="47" t="s">
        <v>7765</v>
      </c>
      <c r="J177" s="47" t="s">
        <v>5861</v>
      </c>
    </row>
    <row r="178" spans="2:10" ht="14.5">
      <c r="B178" s="47" t="s">
        <v>5970</v>
      </c>
      <c r="C178" s="47" t="s">
        <v>64</v>
      </c>
      <c r="D178" s="47" t="s">
        <v>7965</v>
      </c>
      <c r="E178" s="47" t="s">
        <v>5969</v>
      </c>
      <c r="F178" s="47" t="s">
        <v>7763</v>
      </c>
      <c r="G178" s="195">
        <v>46303</v>
      </c>
      <c r="H178" s="47" t="s">
        <v>7769</v>
      </c>
      <c r="I178" s="47" t="s">
        <v>7765</v>
      </c>
      <c r="J178" s="47" t="s">
        <v>5969</v>
      </c>
    </row>
    <row r="179" spans="2:10" ht="14.5">
      <c r="B179" s="47" t="s">
        <v>5915</v>
      </c>
      <c r="C179" s="47" t="s">
        <v>64</v>
      </c>
      <c r="D179" s="47" t="s">
        <v>7966</v>
      </c>
      <c r="E179" s="47" t="s">
        <v>5914</v>
      </c>
      <c r="F179" s="47" t="s">
        <v>7763</v>
      </c>
      <c r="G179" s="195">
        <v>46309</v>
      </c>
      <c r="H179" s="47" t="s">
        <v>7769</v>
      </c>
      <c r="I179" s="47" t="s">
        <v>7765</v>
      </c>
      <c r="J179" s="47" t="s">
        <v>5914</v>
      </c>
    </row>
    <row r="180" spans="2:10" ht="14.5">
      <c r="B180" s="47" t="s">
        <v>5854</v>
      </c>
      <c r="C180" s="47" t="s">
        <v>64</v>
      </c>
      <c r="D180" s="47" t="s">
        <v>7967</v>
      </c>
      <c r="E180" s="47" t="s">
        <v>5853</v>
      </c>
      <c r="F180" s="47" t="s">
        <v>7763</v>
      </c>
      <c r="G180" s="195">
        <v>46300</v>
      </c>
      <c r="H180" s="47" t="s">
        <v>7769</v>
      </c>
      <c r="I180" s="47" t="s">
        <v>7765</v>
      </c>
      <c r="J180" s="47" t="s">
        <v>5853</v>
      </c>
    </row>
    <row r="181" spans="2:10" ht="14.5">
      <c r="B181" s="47" t="s">
        <v>5954</v>
      </c>
      <c r="C181" s="47" t="s">
        <v>64</v>
      </c>
      <c r="D181" s="47" t="s">
        <v>7968</v>
      </c>
      <c r="E181" s="47" t="s">
        <v>5953</v>
      </c>
      <c r="F181" s="47" t="s">
        <v>7763</v>
      </c>
      <c r="G181" s="195">
        <v>46321</v>
      </c>
      <c r="H181" s="47" t="s">
        <v>7769</v>
      </c>
      <c r="I181" s="47" t="s">
        <v>7765</v>
      </c>
      <c r="J181" s="47" t="s">
        <v>5953</v>
      </c>
    </row>
    <row r="182" spans="2:10" ht="14.5">
      <c r="B182" s="47" t="s">
        <v>5877</v>
      </c>
      <c r="C182" s="47" t="s">
        <v>64</v>
      </c>
      <c r="D182" s="47" t="s">
        <v>7969</v>
      </c>
      <c r="E182" s="47" t="s">
        <v>5876</v>
      </c>
      <c r="F182" s="47" t="s">
        <v>7763</v>
      </c>
      <c r="G182" s="195">
        <v>46300</v>
      </c>
      <c r="H182" s="47" t="s">
        <v>7769</v>
      </c>
      <c r="I182" s="47" t="s">
        <v>7765</v>
      </c>
      <c r="J182" s="47" t="s">
        <v>5876</v>
      </c>
    </row>
    <row r="183" spans="2:10" ht="14.5">
      <c r="B183" s="47" t="s">
        <v>5949</v>
      </c>
      <c r="C183" s="47" t="s">
        <v>64</v>
      </c>
      <c r="D183" s="47" t="s">
        <v>7970</v>
      </c>
      <c r="E183" s="47" t="s">
        <v>5948</v>
      </c>
      <c r="F183" s="47" t="s">
        <v>7763</v>
      </c>
      <c r="G183" s="195">
        <v>46342</v>
      </c>
      <c r="H183" s="47" t="s">
        <v>7769</v>
      </c>
      <c r="I183" s="47" t="s">
        <v>7765</v>
      </c>
      <c r="J183" s="47" t="s">
        <v>5948</v>
      </c>
    </row>
    <row r="184" spans="2:10" ht="14.5">
      <c r="B184" s="47" t="s">
        <v>5879</v>
      </c>
      <c r="C184" s="47" t="s">
        <v>64</v>
      </c>
      <c r="D184" s="47" t="s">
        <v>7971</v>
      </c>
      <c r="E184" s="47" t="s">
        <v>5878</v>
      </c>
      <c r="F184" s="47" t="s">
        <v>7763</v>
      </c>
      <c r="G184" s="195">
        <v>46288</v>
      </c>
      <c r="H184" s="47" t="s">
        <v>7769</v>
      </c>
      <c r="I184" s="47" t="s">
        <v>7765</v>
      </c>
      <c r="J184" s="47"/>
    </row>
    <row r="185" spans="2:10" ht="14.5">
      <c r="B185" s="47" t="s">
        <v>5870</v>
      </c>
      <c r="C185" s="47" t="s">
        <v>64</v>
      </c>
      <c r="D185" s="47" t="s">
        <v>7972</v>
      </c>
      <c r="E185" s="47" t="s">
        <v>5866</v>
      </c>
      <c r="F185" s="47" t="s">
        <v>7763</v>
      </c>
      <c r="G185" s="195">
        <v>46288</v>
      </c>
      <c r="H185" s="47" t="s">
        <v>7769</v>
      </c>
      <c r="I185" s="47" t="s">
        <v>7765</v>
      </c>
      <c r="J185" s="47"/>
    </row>
    <row r="186" spans="2:10" ht="14.5">
      <c r="B186" s="47" t="s">
        <v>5865</v>
      </c>
      <c r="C186" s="47" t="s">
        <v>64</v>
      </c>
      <c r="D186" s="47" t="s">
        <v>7973</v>
      </c>
      <c r="E186" s="47" t="s">
        <v>5863</v>
      </c>
      <c r="F186" s="47" t="s">
        <v>7763</v>
      </c>
      <c r="G186" s="195">
        <v>46300</v>
      </c>
      <c r="H186" s="47" t="s">
        <v>7769</v>
      </c>
      <c r="I186" s="47" t="s">
        <v>7765</v>
      </c>
      <c r="J186" s="47" t="s">
        <v>5863</v>
      </c>
    </row>
    <row r="187" spans="2:10" ht="14.5">
      <c r="B187" s="47" t="s">
        <v>5975</v>
      </c>
      <c r="C187" s="47" t="s">
        <v>64</v>
      </c>
      <c r="D187" s="47" t="s">
        <v>7974</v>
      </c>
      <c r="E187" s="47" t="s">
        <v>5973</v>
      </c>
      <c r="F187" s="47" t="s">
        <v>7763</v>
      </c>
      <c r="G187" s="195">
        <v>46300</v>
      </c>
      <c r="H187" s="47" t="s">
        <v>7769</v>
      </c>
      <c r="I187" s="47" t="s">
        <v>7765</v>
      </c>
      <c r="J187" s="47" t="s">
        <v>5973</v>
      </c>
    </row>
    <row r="188" spans="2:10" ht="14.5">
      <c r="B188" s="47" t="s">
        <v>5911</v>
      </c>
      <c r="C188" s="47" t="s">
        <v>64</v>
      </c>
      <c r="D188" s="47" t="s">
        <v>7975</v>
      </c>
      <c r="E188" s="47" t="s">
        <v>5909</v>
      </c>
      <c r="F188" s="47" t="s">
        <v>7763</v>
      </c>
      <c r="G188" s="195">
        <v>46309</v>
      </c>
      <c r="H188" s="47" t="s">
        <v>7769</v>
      </c>
      <c r="I188" s="47" t="s">
        <v>7765</v>
      </c>
      <c r="J188" s="47" t="s">
        <v>5909</v>
      </c>
    </row>
    <row r="189" spans="2:10" ht="14.5">
      <c r="B189" s="47" t="s">
        <v>5917</v>
      </c>
      <c r="C189" s="47" t="s">
        <v>64</v>
      </c>
      <c r="D189" s="47" t="s">
        <v>7976</v>
      </c>
      <c r="E189" s="47" t="s">
        <v>5916</v>
      </c>
      <c r="F189" s="47" t="s">
        <v>7763</v>
      </c>
      <c r="G189" s="195">
        <v>46309</v>
      </c>
      <c r="H189" s="47" t="s">
        <v>7769</v>
      </c>
      <c r="I189" s="47" t="s">
        <v>7765</v>
      </c>
      <c r="J189" s="47" t="s">
        <v>5916</v>
      </c>
    </row>
    <row r="190" spans="2:10" ht="14.5">
      <c r="B190" s="47" t="s">
        <v>5979</v>
      </c>
      <c r="C190" s="47" t="s">
        <v>64</v>
      </c>
      <c r="D190" s="47" t="s">
        <v>7977</v>
      </c>
      <c r="E190" s="47" t="s">
        <v>5978</v>
      </c>
      <c r="F190" s="47" t="s">
        <v>7763</v>
      </c>
      <c r="G190" s="195">
        <v>46296</v>
      </c>
      <c r="H190" s="47" t="s">
        <v>7769</v>
      </c>
      <c r="I190" s="47" t="s">
        <v>7765</v>
      </c>
      <c r="J190" s="47" t="s">
        <v>5978</v>
      </c>
    </row>
    <row r="191" spans="2:10" ht="14.5">
      <c r="B191" s="47" t="s">
        <v>5746</v>
      </c>
      <c r="C191" s="47" t="s">
        <v>64</v>
      </c>
      <c r="D191" s="47" t="s">
        <v>7978</v>
      </c>
      <c r="E191" s="47" t="s">
        <v>5743</v>
      </c>
      <c r="F191" s="47" t="s">
        <v>7763</v>
      </c>
      <c r="G191" s="195">
        <v>46290</v>
      </c>
      <c r="H191" s="47" t="s">
        <v>7769</v>
      </c>
      <c r="I191" s="47" t="s">
        <v>7765</v>
      </c>
      <c r="J191" s="47"/>
    </row>
    <row r="192" spans="2:10" ht="14.5">
      <c r="B192" s="47" t="s">
        <v>5929</v>
      </c>
      <c r="C192" s="47" t="s">
        <v>64</v>
      </c>
      <c r="D192" s="47" t="s">
        <v>7979</v>
      </c>
      <c r="E192" s="47" t="s">
        <v>5927</v>
      </c>
      <c r="F192" s="47" t="s">
        <v>7763</v>
      </c>
      <c r="G192" s="195">
        <v>46300</v>
      </c>
      <c r="H192" s="47" t="s">
        <v>7769</v>
      </c>
      <c r="I192" s="47" t="s">
        <v>7765</v>
      </c>
      <c r="J192" s="47" t="s">
        <v>5927</v>
      </c>
    </row>
    <row r="193" spans="2:10" ht="14.5">
      <c r="B193" s="47" t="s">
        <v>5884</v>
      </c>
      <c r="C193" s="47" t="s">
        <v>64</v>
      </c>
      <c r="D193" s="47" t="s">
        <v>7980</v>
      </c>
      <c r="E193" s="47" t="s">
        <v>7981</v>
      </c>
      <c r="F193" s="47" t="s">
        <v>7763</v>
      </c>
      <c r="G193" s="195">
        <v>46309</v>
      </c>
      <c r="H193" s="47" t="s">
        <v>7769</v>
      </c>
      <c r="I193" s="47" t="s">
        <v>7765</v>
      </c>
      <c r="J193" s="47" t="s">
        <v>7981</v>
      </c>
    </row>
    <row r="194" spans="2:10" ht="14.5">
      <c r="B194" s="47" t="s">
        <v>5872</v>
      </c>
      <c r="C194" s="47" t="s">
        <v>64</v>
      </c>
      <c r="D194" s="47" t="s">
        <v>7982</v>
      </c>
      <c r="E194" s="47" t="s">
        <v>5871</v>
      </c>
      <c r="F194" s="47" t="s">
        <v>7763</v>
      </c>
      <c r="G194" s="195">
        <v>46300</v>
      </c>
      <c r="H194" s="47" t="s">
        <v>7769</v>
      </c>
      <c r="I194" s="47" t="s">
        <v>7765</v>
      </c>
      <c r="J194" s="47" t="s">
        <v>5871</v>
      </c>
    </row>
    <row r="195" spans="2:10" ht="14.5">
      <c r="B195" s="47" t="s">
        <v>5858</v>
      </c>
      <c r="C195" s="47" t="s">
        <v>64</v>
      </c>
      <c r="D195" s="47" t="s">
        <v>7983</v>
      </c>
      <c r="E195" s="47" t="s">
        <v>5857</v>
      </c>
      <c r="F195" s="47" t="s">
        <v>7763</v>
      </c>
      <c r="G195" s="195">
        <v>46300</v>
      </c>
      <c r="H195" s="47" t="s">
        <v>7769</v>
      </c>
      <c r="I195" s="47" t="s">
        <v>7765</v>
      </c>
      <c r="J195" s="47" t="s">
        <v>5857</v>
      </c>
    </row>
    <row r="196" spans="2:10" ht="14.5">
      <c r="B196" s="47" t="s">
        <v>5752</v>
      </c>
      <c r="C196" s="47" t="s">
        <v>64</v>
      </c>
      <c r="D196" s="47" t="s">
        <v>7984</v>
      </c>
      <c r="E196" s="47" t="s">
        <v>5751</v>
      </c>
      <c r="F196" s="47" t="s">
        <v>7763</v>
      </c>
      <c r="G196" s="364">
        <v>46290</v>
      </c>
      <c r="H196" s="47" t="s">
        <v>7769</v>
      </c>
      <c r="I196" s="47" t="s">
        <v>7765</v>
      </c>
      <c r="J196" s="47" t="s">
        <v>5751</v>
      </c>
    </row>
    <row r="197" spans="2:10" ht="14.5">
      <c r="B197" s="47" t="s">
        <v>5646</v>
      </c>
      <c r="C197" s="47" t="s">
        <v>64</v>
      </c>
      <c r="D197" s="47" t="s">
        <v>7985</v>
      </c>
      <c r="E197" s="47" t="s">
        <v>5644</v>
      </c>
      <c r="F197" s="47" t="s">
        <v>7763</v>
      </c>
      <c r="G197" s="364">
        <v>46294</v>
      </c>
      <c r="H197" s="47" t="s">
        <v>7769</v>
      </c>
      <c r="I197" s="47" t="s">
        <v>7765</v>
      </c>
      <c r="J197" s="47" t="s">
        <v>5644</v>
      </c>
    </row>
    <row r="198" spans="2:10" ht="14.5">
      <c r="B198" s="47" t="s">
        <v>5828</v>
      </c>
      <c r="C198" s="47" t="s">
        <v>64</v>
      </c>
      <c r="D198" s="47" t="s">
        <v>7986</v>
      </c>
      <c r="E198" s="47" t="s">
        <v>5827</v>
      </c>
      <c r="F198" s="47" t="s">
        <v>7763</v>
      </c>
      <c r="G198" s="364">
        <v>46315</v>
      </c>
      <c r="H198" s="47" t="s">
        <v>7769</v>
      </c>
      <c r="I198" s="47" t="s">
        <v>7765</v>
      </c>
      <c r="J198" s="47" t="s">
        <v>5827</v>
      </c>
    </row>
    <row r="199" spans="2:10" ht="14.5">
      <c r="B199" s="47" t="s">
        <v>5824</v>
      </c>
      <c r="C199" s="47" t="s">
        <v>64</v>
      </c>
      <c r="D199" s="47" t="s">
        <v>7987</v>
      </c>
      <c r="E199" s="47" t="s">
        <v>5823</v>
      </c>
      <c r="F199" s="47" t="s">
        <v>7763</v>
      </c>
      <c r="G199" s="364">
        <v>46314</v>
      </c>
      <c r="H199" s="47" t="s">
        <v>7769</v>
      </c>
      <c r="I199" s="47" t="s">
        <v>7765</v>
      </c>
      <c r="J199" s="47" t="s">
        <v>5823</v>
      </c>
    </row>
    <row r="200" spans="2:10" ht="14.5">
      <c r="B200" s="47" t="s">
        <v>5814</v>
      </c>
      <c r="C200" s="47" t="s">
        <v>64</v>
      </c>
      <c r="D200" s="47" t="s">
        <v>7988</v>
      </c>
      <c r="E200" s="47" t="s">
        <v>5813</v>
      </c>
      <c r="F200" s="47" t="s">
        <v>7763</v>
      </c>
      <c r="G200" s="364">
        <v>46300</v>
      </c>
      <c r="H200" s="47" t="s">
        <v>7769</v>
      </c>
      <c r="I200" s="47" t="s">
        <v>7765</v>
      </c>
      <c r="J200" s="47" t="s">
        <v>5813</v>
      </c>
    </row>
    <row r="201" spans="2:10" ht="14.5">
      <c r="B201" s="47" t="s">
        <v>5734</v>
      </c>
      <c r="C201" s="47" t="s">
        <v>64</v>
      </c>
      <c r="D201" s="47" t="s">
        <v>7989</v>
      </c>
      <c r="E201" s="47" t="s">
        <v>5733</v>
      </c>
      <c r="F201" s="47" t="s">
        <v>7763</v>
      </c>
      <c r="G201" s="364">
        <v>46289</v>
      </c>
      <c r="H201" s="47" t="s">
        <v>7769</v>
      </c>
      <c r="I201" s="47" t="s">
        <v>7765</v>
      </c>
      <c r="J201" s="47"/>
    </row>
    <row r="202" spans="2:10" ht="14.5">
      <c r="B202" s="47" t="s">
        <v>5682</v>
      </c>
      <c r="C202" s="47" t="s">
        <v>64</v>
      </c>
      <c r="D202" s="47" t="s">
        <v>7990</v>
      </c>
      <c r="E202" s="47" t="s">
        <v>5681</v>
      </c>
      <c r="F202" s="47" t="s">
        <v>7763</v>
      </c>
      <c r="G202" s="364">
        <v>46283</v>
      </c>
      <c r="H202" s="47" t="s">
        <v>7769</v>
      </c>
      <c r="I202" s="47" t="s">
        <v>7765</v>
      </c>
      <c r="J202" s="47"/>
    </row>
    <row r="203" spans="2:10" ht="14.5">
      <c r="B203" s="47" t="s">
        <v>5540</v>
      </c>
      <c r="C203" s="47" t="s">
        <v>64</v>
      </c>
      <c r="D203" s="47" t="s">
        <v>7991</v>
      </c>
      <c r="E203" s="47" t="s">
        <v>5537</v>
      </c>
      <c r="F203" s="47" t="s">
        <v>7763</v>
      </c>
      <c r="G203" s="364">
        <v>46300</v>
      </c>
      <c r="H203" s="47" t="s">
        <v>7769</v>
      </c>
      <c r="I203" s="47" t="s">
        <v>7765</v>
      </c>
      <c r="J203" s="47" t="s">
        <v>5537</v>
      </c>
    </row>
    <row r="204" spans="2:10" ht="14.5">
      <c r="B204" s="47" t="s">
        <v>5820</v>
      </c>
      <c r="C204" s="47" t="s">
        <v>64</v>
      </c>
      <c r="D204" s="47" t="s">
        <v>7992</v>
      </c>
      <c r="E204" s="47" t="s">
        <v>5819</v>
      </c>
      <c r="F204" s="47" t="s">
        <v>7763</v>
      </c>
      <c r="G204" s="364">
        <v>46309</v>
      </c>
      <c r="H204" s="47" t="s">
        <v>7769</v>
      </c>
      <c r="I204" s="47" t="s">
        <v>7765</v>
      </c>
      <c r="J204" s="47" t="s">
        <v>5819</v>
      </c>
    </row>
    <row r="205" spans="2:10" ht="14.5">
      <c r="B205" s="47" t="s">
        <v>5707</v>
      </c>
      <c r="C205" s="47" t="s">
        <v>64</v>
      </c>
      <c r="D205" s="47" t="s">
        <v>7993</v>
      </c>
      <c r="E205" s="47" t="s">
        <v>5706</v>
      </c>
      <c r="F205" s="47" t="s">
        <v>7763</v>
      </c>
      <c r="G205" s="364">
        <v>46293</v>
      </c>
      <c r="H205" s="47" t="s">
        <v>7769</v>
      </c>
      <c r="I205" s="47" t="s">
        <v>7765</v>
      </c>
      <c r="J205" s="47" t="s">
        <v>5706</v>
      </c>
    </row>
    <row r="206" spans="2:10" ht="14.5">
      <c r="B206" s="47" t="s">
        <v>5684</v>
      </c>
      <c r="C206" s="47" t="s">
        <v>64</v>
      </c>
      <c r="D206" s="47" t="s">
        <v>7994</v>
      </c>
      <c r="E206" s="47" t="s">
        <v>5683</v>
      </c>
      <c r="F206" s="47" t="s">
        <v>7763</v>
      </c>
      <c r="G206" s="364">
        <v>46290</v>
      </c>
      <c r="H206" s="47" t="s">
        <v>7769</v>
      </c>
      <c r="I206" s="47" t="s">
        <v>7765</v>
      </c>
      <c r="J206" s="47" t="s">
        <v>5683</v>
      </c>
    </row>
    <row r="207" spans="2:10" ht="14.5">
      <c r="B207" s="47" t="s">
        <v>5712</v>
      </c>
      <c r="C207" s="47" t="s">
        <v>64</v>
      </c>
      <c r="D207" s="47" t="s">
        <v>7995</v>
      </c>
      <c r="E207" s="47" t="s">
        <v>5710</v>
      </c>
      <c r="F207" s="47" t="s">
        <v>7763</v>
      </c>
      <c r="G207" s="364">
        <v>46296</v>
      </c>
      <c r="H207" s="47" t="s">
        <v>7769</v>
      </c>
      <c r="I207" s="47" t="s">
        <v>7765</v>
      </c>
      <c r="J207" s="47" t="s">
        <v>5710</v>
      </c>
    </row>
    <row r="208" spans="2:10" ht="14.5">
      <c r="B208" s="47" t="s">
        <v>5598</v>
      </c>
      <c r="C208" s="47" t="s">
        <v>64</v>
      </c>
      <c r="D208" s="47" t="s">
        <v>7996</v>
      </c>
      <c r="E208" s="47" t="s">
        <v>5597</v>
      </c>
      <c r="F208" s="47" t="s">
        <v>7763</v>
      </c>
      <c r="G208" s="364">
        <v>46287</v>
      </c>
      <c r="H208" s="47" t="s">
        <v>7769</v>
      </c>
      <c r="I208" s="47" t="s">
        <v>7765</v>
      </c>
      <c r="J208" s="47" t="s">
        <v>5597</v>
      </c>
    </row>
    <row r="209" spans="2:10" ht="14.5">
      <c r="B209" s="47" t="s">
        <v>5680</v>
      </c>
      <c r="C209" s="47" t="s">
        <v>64</v>
      </c>
      <c r="D209" s="47" t="s">
        <v>7997</v>
      </c>
      <c r="E209" s="47" t="s">
        <v>5679</v>
      </c>
      <c r="F209" s="47" t="s">
        <v>7763</v>
      </c>
      <c r="G209" s="364">
        <v>46290</v>
      </c>
      <c r="H209" s="47" t="s">
        <v>7769</v>
      </c>
      <c r="I209" s="47" t="s">
        <v>7765</v>
      </c>
      <c r="J209" s="47" t="s">
        <v>5679</v>
      </c>
    </row>
    <row r="210" spans="2:10" ht="14.5">
      <c r="B210" s="47" t="s">
        <v>5816</v>
      </c>
      <c r="C210" s="47" t="s">
        <v>64</v>
      </c>
      <c r="D210" s="47" t="s">
        <v>7998</v>
      </c>
      <c r="E210" s="47" t="s">
        <v>5815</v>
      </c>
      <c r="F210" s="47" t="s">
        <v>7763</v>
      </c>
      <c r="G210" s="364">
        <v>46324</v>
      </c>
      <c r="H210" s="47" t="s">
        <v>7769</v>
      </c>
      <c r="I210" s="47" t="s">
        <v>7765</v>
      </c>
      <c r="J210" s="47" t="s">
        <v>5815</v>
      </c>
    </row>
    <row r="211" spans="2:10" ht="14.5">
      <c r="B211" s="47" t="s">
        <v>5635</v>
      </c>
      <c r="C211" s="47" t="s">
        <v>64</v>
      </c>
      <c r="D211" s="47" t="s">
        <v>7999</v>
      </c>
      <c r="E211" s="47" t="s">
        <v>5634</v>
      </c>
      <c r="F211" s="47" t="s">
        <v>7763</v>
      </c>
      <c r="G211" s="364">
        <v>46321</v>
      </c>
      <c r="H211" s="47" t="s">
        <v>7769</v>
      </c>
      <c r="I211" s="47" t="s">
        <v>7765</v>
      </c>
      <c r="J211" s="47" t="s">
        <v>5634</v>
      </c>
    </row>
    <row r="212" spans="2:10" ht="14.5">
      <c r="B212" s="47" t="s">
        <v>5631</v>
      </c>
      <c r="C212" s="47" t="s">
        <v>64</v>
      </c>
      <c r="D212" s="47" t="s">
        <v>8000</v>
      </c>
      <c r="E212" s="47" t="s">
        <v>5630</v>
      </c>
      <c r="F212" s="47" t="s">
        <v>7763</v>
      </c>
      <c r="G212" s="364">
        <v>46297</v>
      </c>
      <c r="H212" s="47" t="s">
        <v>7769</v>
      </c>
      <c r="I212" s="47" t="s">
        <v>7765</v>
      </c>
      <c r="J212" s="47" t="s">
        <v>5630</v>
      </c>
    </row>
    <row r="213" spans="2:10" ht="14.5">
      <c r="B213" s="47" t="s">
        <v>5593</v>
      </c>
      <c r="C213" s="47" t="s">
        <v>64</v>
      </c>
      <c r="D213" s="47" t="s">
        <v>8001</v>
      </c>
      <c r="E213" s="47" t="s">
        <v>5591</v>
      </c>
      <c r="F213" s="47" t="s">
        <v>7763</v>
      </c>
      <c r="G213" s="364">
        <v>46287</v>
      </c>
      <c r="H213" s="47" t="s">
        <v>7769</v>
      </c>
      <c r="I213" s="47" t="s">
        <v>7765</v>
      </c>
      <c r="J213" s="47" t="s">
        <v>5591</v>
      </c>
    </row>
    <row r="214" spans="2:10" ht="14.5">
      <c r="B214" s="47" t="s">
        <v>5754</v>
      </c>
      <c r="C214" s="47" t="s">
        <v>64</v>
      </c>
      <c r="D214" s="47" t="s">
        <v>8002</v>
      </c>
      <c r="E214" s="47" t="s">
        <v>5753</v>
      </c>
      <c r="F214" s="47" t="s">
        <v>7763</v>
      </c>
      <c r="G214" s="364">
        <v>46290</v>
      </c>
      <c r="H214" s="47" t="s">
        <v>7769</v>
      </c>
      <c r="I214" s="47" t="s">
        <v>7765</v>
      </c>
      <c r="J214" s="47" t="s">
        <v>5753</v>
      </c>
    </row>
    <row r="215" spans="2:10" ht="14.5">
      <c r="B215" s="47" t="s">
        <v>5760</v>
      </c>
      <c r="C215" s="47" t="s">
        <v>64</v>
      </c>
      <c r="D215" s="47" t="s">
        <v>8003</v>
      </c>
      <c r="E215" s="47" t="s">
        <v>5759</v>
      </c>
      <c r="F215" s="47" t="s">
        <v>7763</v>
      </c>
      <c r="G215" s="364">
        <v>46295</v>
      </c>
      <c r="H215" s="47" t="s">
        <v>7769</v>
      </c>
      <c r="I215" s="47" t="s">
        <v>7765</v>
      </c>
      <c r="J215" s="47" t="s">
        <v>5759</v>
      </c>
    </row>
    <row r="216" spans="2:10" ht="14.5">
      <c r="B216" s="47" t="s">
        <v>5663</v>
      </c>
      <c r="C216" s="47" t="s">
        <v>64</v>
      </c>
      <c r="D216" s="47" t="s">
        <v>8004</v>
      </c>
      <c r="E216" s="47" t="s">
        <v>5660</v>
      </c>
      <c r="F216" s="47" t="s">
        <v>7763</v>
      </c>
      <c r="G216" s="364">
        <v>46288</v>
      </c>
      <c r="H216" s="47" t="s">
        <v>7769</v>
      </c>
      <c r="I216" s="47" t="s">
        <v>7765</v>
      </c>
      <c r="J216" s="47" t="s">
        <v>5660</v>
      </c>
    </row>
    <row r="217" spans="2:10" ht="14.5">
      <c r="B217" s="47" t="s">
        <v>5699</v>
      </c>
      <c r="C217" s="47" t="s">
        <v>7761</v>
      </c>
      <c r="D217" s="47" t="s">
        <v>8005</v>
      </c>
      <c r="E217" s="47" t="s">
        <v>5698</v>
      </c>
      <c r="F217" s="47" t="s">
        <v>7763</v>
      </c>
      <c r="G217" s="364">
        <v>46280</v>
      </c>
      <c r="H217" s="47" t="s">
        <v>7764</v>
      </c>
      <c r="I217" s="47" t="s">
        <v>7765</v>
      </c>
      <c r="J217" s="47" t="s">
        <v>5698</v>
      </c>
    </row>
    <row r="218" spans="2:10" ht="14.5">
      <c r="B218" s="47" t="s">
        <v>5904</v>
      </c>
      <c r="C218" s="47" t="s">
        <v>7761</v>
      </c>
      <c r="D218" s="47" t="s">
        <v>8006</v>
      </c>
      <c r="E218" s="47" t="s">
        <v>5903</v>
      </c>
      <c r="F218" s="47" t="s">
        <v>7763</v>
      </c>
      <c r="G218" s="364">
        <v>46274</v>
      </c>
      <c r="H218" s="47" t="s">
        <v>7764</v>
      </c>
      <c r="I218" s="47" t="s">
        <v>7765</v>
      </c>
      <c r="J218" s="47" t="s">
        <v>5903</v>
      </c>
    </row>
    <row r="219" spans="2:10" ht="14.5">
      <c r="B219" s="47" t="s">
        <v>5894</v>
      </c>
      <c r="C219" s="47" t="s">
        <v>64</v>
      </c>
      <c r="D219" s="47" t="s">
        <v>8007</v>
      </c>
      <c r="E219" s="47" t="s">
        <v>5892</v>
      </c>
      <c r="F219" s="47" t="s">
        <v>7763</v>
      </c>
      <c r="G219" s="364">
        <v>46295</v>
      </c>
      <c r="H219" s="47" t="s">
        <v>7769</v>
      </c>
      <c r="I219" s="47" t="s">
        <v>7765</v>
      </c>
      <c r="J219" s="47" t="s">
        <v>5892</v>
      </c>
    </row>
    <row r="220" spans="2:10" ht="14.5">
      <c r="B220" s="47" t="s">
        <v>5908</v>
      </c>
      <c r="C220" s="47" t="s">
        <v>7761</v>
      </c>
      <c r="D220" s="47" t="s">
        <v>8008</v>
      </c>
      <c r="E220" s="47" t="s">
        <v>5907</v>
      </c>
      <c r="F220" s="47" t="s">
        <v>7763</v>
      </c>
      <c r="G220" s="364">
        <v>46274</v>
      </c>
      <c r="H220" s="47" t="s">
        <v>7764</v>
      </c>
      <c r="I220" s="47" t="s">
        <v>7765</v>
      </c>
      <c r="J220" s="47" t="s">
        <v>5907</v>
      </c>
    </row>
    <row r="221" spans="2:10" ht="14.5">
      <c r="B221" s="47" t="s">
        <v>5794</v>
      </c>
      <c r="C221" s="47" t="s">
        <v>64</v>
      </c>
      <c r="D221" s="47" t="s">
        <v>8009</v>
      </c>
      <c r="E221" s="47" t="s">
        <v>5793</v>
      </c>
      <c r="F221" s="47" t="s">
        <v>7763</v>
      </c>
      <c r="G221" s="364">
        <v>46308</v>
      </c>
      <c r="H221" s="47" t="s">
        <v>7769</v>
      </c>
      <c r="I221" s="47" t="s">
        <v>7765</v>
      </c>
      <c r="J221" s="47" t="s">
        <v>5793</v>
      </c>
    </row>
    <row r="222" spans="2:10" ht="14.5">
      <c r="B222" s="47" t="s">
        <v>5810</v>
      </c>
      <c r="C222" s="47" t="s">
        <v>64</v>
      </c>
      <c r="D222" s="47" t="s">
        <v>8010</v>
      </c>
      <c r="E222" s="47" t="s">
        <v>5809</v>
      </c>
      <c r="F222" s="47" t="s">
        <v>7763</v>
      </c>
      <c r="G222" s="364">
        <v>46300</v>
      </c>
      <c r="H222" s="47" t="s">
        <v>7769</v>
      </c>
      <c r="I222" s="47" t="s">
        <v>7765</v>
      </c>
      <c r="J222" s="47" t="s">
        <v>5809</v>
      </c>
    </row>
    <row r="223" spans="2:10" ht="14.5">
      <c r="B223" s="47" t="s">
        <v>5756</v>
      </c>
      <c r="C223" s="47" t="s">
        <v>64</v>
      </c>
      <c r="D223" s="47" t="s">
        <v>8011</v>
      </c>
      <c r="E223" s="47" t="s">
        <v>5755</v>
      </c>
      <c r="F223" s="47" t="s">
        <v>7763</v>
      </c>
      <c r="G223" s="364">
        <v>46293</v>
      </c>
      <c r="H223" s="47" t="s">
        <v>7769</v>
      </c>
      <c r="I223" s="47" t="s">
        <v>7765</v>
      </c>
      <c r="J223" s="47" t="s">
        <v>5755</v>
      </c>
    </row>
    <row r="224" spans="2:10" ht="14.5">
      <c r="B224" s="47" t="s">
        <v>5799</v>
      </c>
      <c r="C224" s="47" t="s">
        <v>64</v>
      </c>
      <c r="D224" s="47" t="s">
        <v>8012</v>
      </c>
      <c r="E224" s="47" t="s">
        <v>5798</v>
      </c>
      <c r="F224" s="47" t="s">
        <v>7763</v>
      </c>
      <c r="G224" s="364">
        <v>46308</v>
      </c>
      <c r="H224" s="47" t="s">
        <v>7769</v>
      </c>
      <c r="I224" s="47" t="s">
        <v>7765</v>
      </c>
      <c r="J224" s="47" t="s">
        <v>5798</v>
      </c>
    </row>
    <row r="225" spans="2:10" ht="14.5">
      <c r="B225" s="47" t="s">
        <v>5668</v>
      </c>
      <c r="C225" s="47" t="s">
        <v>64</v>
      </c>
      <c r="D225" s="47" t="s">
        <v>8013</v>
      </c>
      <c r="E225" s="47" t="s">
        <v>5667</v>
      </c>
      <c r="F225" s="47" t="s">
        <v>7763</v>
      </c>
      <c r="G225" s="364">
        <v>46288</v>
      </c>
      <c r="H225" s="47" t="s">
        <v>7769</v>
      </c>
      <c r="I225" s="47" t="s">
        <v>7765</v>
      </c>
      <c r="J225" s="47" t="s">
        <v>5667</v>
      </c>
    </row>
    <row r="226" spans="2:10" ht="14.5">
      <c r="B226" s="47" t="s">
        <v>5717</v>
      </c>
      <c r="C226" s="47" t="s">
        <v>64</v>
      </c>
      <c r="D226" s="47" t="s">
        <v>8014</v>
      </c>
      <c r="E226" s="47" t="s">
        <v>5716</v>
      </c>
      <c r="F226" s="47" t="s">
        <v>7763</v>
      </c>
      <c r="G226" s="364">
        <v>46296</v>
      </c>
      <c r="H226" s="47" t="s">
        <v>7769</v>
      </c>
      <c r="I226" s="47" t="s">
        <v>7765</v>
      </c>
      <c r="J226" s="47" t="s">
        <v>5716</v>
      </c>
    </row>
    <row r="227" spans="2:10" ht="14.5">
      <c r="B227" s="47" t="s">
        <v>5688</v>
      </c>
      <c r="C227" s="47" t="s">
        <v>64</v>
      </c>
      <c r="D227" s="47" t="s">
        <v>8015</v>
      </c>
      <c r="E227" s="47" t="s">
        <v>5687</v>
      </c>
      <c r="F227" s="47" t="s">
        <v>7763</v>
      </c>
      <c r="G227" s="364">
        <v>46290</v>
      </c>
      <c r="H227" s="47" t="s">
        <v>7769</v>
      </c>
      <c r="I227" s="47" t="s">
        <v>7765</v>
      </c>
      <c r="J227" s="47" t="s">
        <v>5687</v>
      </c>
    </row>
    <row r="228" spans="2:10" ht="14.5">
      <c r="B228" s="47" t="s">
        <v>5672</v>
      </c>
      <c r="C228" s="47" t="s">
        <v>64</v>
      </c>
      <c r="D228" s="47" t="s">
        <v>8016</v>
      </c>
      <c r="E228" s="47" t="s">
        <v>5671</v>
      </c>
      <c r="F228" s="47" t="s">
        <v>7763</v>
      </c>
      <c r="G228" s="364">
        <v>46288</v>
      </c>
      <c r="H228" s="47" t="s">
        <v>7769</v>
      </c>
      <c r="I228" s="47" t="s">
        <v>7765</v>
      </c>
      <c r="J228" s="47" t="s">
        <v>5671</v>
      </c>
    </row>
    <row r="229" spans="2:10" ht="14.5">
      <c r="B229" s="47" t="s">
        <v>5674</v>
      </c>
      <c r="C229" s="47" t="s">
        <v>64</v>
      </c>
      <c r="D229" s="47" t="s">
        <v>8017</v>
      </c>
      <c r="E229" s="47" t="s">
        <v>5673</v>
      </c>
      <c r="F229" s="47" t="s">
        <v>7763</v>
      </c>
      <c r="G229" s="364">
        <v>46290</v>
      </c>
      <c r="H229" s="47" t="s">
        <v>7769</v>
      </c>
      <c r="I229" s="47" t="s">
        <v>7765</v>
      </c>
      <c r="J229" s="47" t="s">
        <v>5673</v>
      </c>
    </row>
    <row r="230" spans="2:10" ht="14.5">
      <c r="B230" s="47" t="s">
        <v>5513</v>
      </c>
      <c r="C230" s="47" t="s">
        <v>64</v>
      </c>
      <c r="D230" s="47" t="s">
        <v>8018</v>
      </c>
      <c r="E230" s="47" t="s">
        <v>5512</v>
      </c>
      <c r="F230" s="47" t="s">
        <v>7763</v>
      </c>
      <c r="G230" s="364">
        <v>46293</v>
      </c>
      <c r="H230" s="47" t="s">
        <v>7769</v>
      </c>
      <c r="I230" s="47" t="s">
        <v>7765</v>
      </c>
      <c r="J230" s="47" t="s">
        <v>5512</v>
      </c>
    </row>
    <row r="231" spans="2:10" ht="14.5">
      <c r="B231" s="47" t="s">
        <v>5686</v>
      </c>
      <c r="C231" s="47" t="s">
        <v>64</v>
      </c>
      <c r="D231" s="47" t="s">
        <v>8019</v>
      </c>
      <c r="E231" s="47" t="s">
        <v>5685</v>
      </c>
      <c r="F231" s="47" t="s">
        <v>7763</v>
      </c>
      <c r="G231" s="364">
        <v>46283</v>
      </c>
      <c r="H231" s="47" t="s">
        <v>7769</v>
      </c>
      <c r="I231" s="47" t="s">
        <v>7765</v>
      </c>
      <c r="J231" s="47"/>
    </row>
    <row r="232" spans="2:10" ht="14.5">
      <c r="B232" s="47" t="s">
        <v>5781</v>
      </c>
      <c r="C232" s="47" t="s">
        <v>7761</v>
      </c>
      <c r="D232" s="47" t="s">
        <v>8020</v>
      </c>
      <c r="E232" s="47" t="s">
        <v>5777</v>
      </c>
      <c r="F232" s="47" t="s">
        <v>7763</v>
      </c>
      <c r="G232" s="364">
        <v>46307</v>
      </c>
      <c r="H232" s="47" t="s">
        <v>7764</v>
      </c>
      <c r="I232" s="47" t="s">
        <v>7765</v>
      </c>
      <c r="J232" s="47" t="s">
        <v>5777</v>
      </c>
    </row>
    <row r="233" spans="2:10" ht="14.5">
      <c r="B233" s="47" t="s">
        <v>5788</v>
      </c>
      <c r="C233" s="47" t="s">
        <v>7761</v>
      </c>
      <c r="D233" s="47" t="s">
        <v>8021</v>
      </c>
      <c r="E233" s="47" t="s">
        <v>5786</v>
      </c>
      <c r="F233" s="47" t="s">
        <v>7763</v>
      </c>
      <c r="G233" s="364">
        <v>46294</v>
      </c>
      <c r="H233" s="47" t="s">
        <v>7764</v>
      </c>
      <c r="I233" s="47" t="s">
        <v>7765</v>
      </c>
      <c r="J233" s="47" t="s">
        <v>5786</v>
      </c>
    </row>
    <row r="234" spans="2:10" ht="14.5">
      <c r="B234" s="47" t="s">
        <v>5703</v>
      </c>
      <c r="C234" s="47" t="s">
        <v>7761</v>
      </c>
      <c r="D234" s="47" t="s">
        <v>8022</v>
      </c>
      <c r="E234" s="47" t="s">
        <v>5702</v>
      </c>
      <c r="F234" s="47" t="s">
        <v>7763</v>
      </c>
      <c r="G234" s="364">
        <v>46274</v>
      </c>
      <c r="H234" s="47" t="s">
        <v>7764</v>
      </c>
      <c r="I234" s="47" t="s">
        <v>7765</v>
      </c>
      <c r="J234" s="47" t="s">
        <v>5702</v>
      </c>
    </row>
    <row r="235" spans="2:10" ht="14.5">
      <c r="B235" s="47" t="s">
        <v>5803</v>
      </c>
      <c r="C235" s="47" t="s">
        <v>64</v>
      </c>
      <c r="D235" s="47" t="s">
        <v>8023</v>
      </c>
      <c r="E235" s="47" t="s">
        <v>5802</v>
      </c>
      <c r="F235" s="47" t="s">
        <v>7763</v>
      </c>
      <c r="G235" s="364">
        <v>46293</v>
      </c>
      <c r="H235" s="47" t="s">
        <v>7769</v>
      </c>
      <c r="I235" s="47" t="s">
        <v>7765</v>
      </c>
      <c r="J235" s="47" t="s">
        <v>5802</v>
      </c>
    </row>
    <row r="236" spans="2:10" ht="14.5">
      <c r="B236" s="47" t="s">
        <v>5808</v>
      </c>
      <c r="C236" s="47" t="s">
        <v>64</v>
      </c>
      <c r="D236" s="47" t="s">
        <v>8024</v>
      </c>
      <c r="E236" s="47" t="s">
        <v>5807</v>
      </c>
      <c r="F236" s="47" t="s">
        <v>7763</v>
      </c>
      <c r="G236" s="364">
        <v>46293</v>
      </c>
      <c r="H236" s="47" t="s">
        <v>7769</v>
      </c>
      <c r="I236" s="47" t="s">
        <v>7765</v>
      </c>
      <c r="J236" s="47" t="s">
        <v>5807</v>
      </c>
    </row>
    <row r="237" spans="2:10" ht="14.5">
      <c r="B237" s="47" t="s">
        <v>5695</v>
      </c>
      <c r="C237" s="47" t="s">
        <v>7761</v>
      </c>
      <c r="D237" s="47" t="s">
        <v>8025</v>
      </c>
      <c r="E237" s="47" t="s">
        <v>5694</v>
      </c>
      <c r="F237" s="47" t="s">
        <v>7763</v>
      </c>
      <c r="G237" s="364">
        <v>46276</v>
      </c>
      <c r="H237" s="47" t="s">
        <v>7764</v>
      </c>
      <c r="I237" s="47" t="s">
        <v>7765</v>
      </c>
      <c r="J237" s="47" t="s">
        <v>5694</v>
      </c>
    </row>
    <row r="238" spans="2:10" ht="14.5">
      <c r="B238" s="47" t="s">
        <v>5690</v>
      </c>
      <c r="C238" s="47" t="s">
        <v>7761</v>
      </c>
      <c r="D238" s="47" t="s">
        <v>8026</v>
      </c>
      <c r="E238" s="47" t="s">
        <v>5689</v>
      </c>
      <c r="F238" s="47" t="s">
        <v>7763</v>
      </c>
      <c r="G238" s="364">
        <v>46277</v>
      </c>
      <c r="H238" s="47" t="s">
        <v>7764</v>
      </c>
      <c r="I238" s="47" t="s">
        <v>7765</v>
      </c>
      <c r="J238" s="47"/>
    </row>
    <row r="239" spans="2:10" ht="14.5">
      <c r="B239" s="47" t="s">
        <v>5697</v>
      </c>
      <c r="C239" s="47" t="s">
        <v>7761</v>
      </c>
      <c r="D239" s="47" t="s">
        <v>8027</v>
      </c>
      <c r="E239" s="47" t="s">
        <v>5696</v>
      </c>
      <c r="F239" s="47" t="s">
        <v>7763</v>
      </c>
      <c r="G239" s="364">
        <v>46277</v>
      </c>
      <c r="H239" s="47" t="s">
        <v>7764</v>
      </c>
      <c r="I239" s="47" t="s">
        <v>7765</v>
      </c>
      <c r="J239" s="47"/>
    </row>
    <row r="240" spans="2:10" ht="14.5">
      <c r="B240" s="47" t="s">
        <v>5626</v>
      </c>
      <c r="C240" s="47" t="s">
        <v>64</v>
      </c>
      <c r="D240" s="47" t="s">
        <v>8028</v>
      </c>
      <c r="E240" s="47" t="s">
        <v>5624</v>
      </c>
      <c r="F240" s="47" t="s">
        <v>7763</v>
      </c>
      <c r="G240" s="364">
        <v>46288</v>
      </c>
      <c r="H240" s="47" t="s">
        <v>7769</v>
      </c>
      <c r="I240" s="47" t="s">
        <v>7765</v>
      </c>
      <c r="J240" s="47" t="s">
        <v>5624</v>
      </c>
    </row>
    <row r="241" spans="2:10" ht="14.5">
      <c r="B241" s="47" t="s">
        <v>5600</v>
      </c>
      <c r="C241" s="47" t="s">
        <v>7761</v>
      </c>
      <c r="D241" s="47" t="s">
        <v>8029</v>
      </c>
      <c r="E241" s="47" t="s">
        <v>5599</v>
      </c>
      <c r="F241" s="47" t="s">
        <v>7763</v>
      </c>
      <c r="G241" s="364">
        <v>46276</v>
      </c>
      <c r="H241" s="47" t="s">
        <v>7764</v>
      </c>
      <c r="I241" s="47" t="s">
        <v>7765</v>
      </c>
      <c r="J241" s="47"/>
    </row>
    <row r="242" spans="2:10" ht="14.5">
      <c r="B242" s="47" t="s">
        <v>7439</v>
      </c>
      <c r="C242" s="47" t="s">
        <v>64</v>
      </c>
      <c r="D242" s="47" t="s">
        <v>8030</v>
      </c>
      <c r="E242" s="47" t="s">
        <v>8031</v>
      </c>
      <c r="F242" s="47" t="s">
        <v>7810</v>
      </c>
      <c r="G242" s="364">
        <v>46279</v>
      </c>
      <c r="H242" s="47" t="s">
        <v>7769</v>
      </c>
      <c r="I242" s="47" t="s">
        <v>7765</v>
      </c>
      <c r="J242" s="47" t="s">
        <v>8032</v>
      </c>
    </row>
    <row r="243" spans="2:10" ht="14.5">
      <c r="B243" s="47" t="s">
        <v>7431</v>
      </c>
      <c r="C243" s="47" t="s">
        <v>64</v>
      </c>
      <c r="D243" s="47" t="s">
        <v>8033</v>
      </c>
      <c r="E243" s="47" t="s">
        <v>8034</v>
      </c>
      <c r="F243" s="47" t="s">
        <v>7810</v>
      </c>
      <c r="G243" s="364">
        <v>46295</v>
      </c>
      <c r="H243" s="47" t="s">
        <v>7769</v>
      </c>
      <c r="I243" s="47" t="s">
        <v>7765</v>
      </c>
      <c r="J243" s="47" t="s">
        <v>8035</v>
      </c>
    </row>
    <row r="244" spans="2:10" ht="14.5">
      <c r="B244" s="47" t="s">
        <v>7426</v>
      </c>
      <c r="C244" s="47" t="s">
        <v>64</v>
      </c>
      <c r="D244" s="47" t="s">
        <v>8036</v>
      </c>
      <c r="E244" s="47" t="s">
        <v>8037</v>
      </c>
      <c r="F244" s="47" t="s">
        <v>7810</v>
      </c>
      <c r="G244" s="364">
        <v>46275</v>
      </c>
      <c r="H244" s="47" t="s">
        <v>7769</v>
      </c>
      <c r="I244" s="47" t="s">
        <v>7765</v>
      </c>
      <c r="J244" s="47" t="s">
        <v>7425</v>
      </c>
    </row>
    <row r="245" spans="2:10" ht="14.5">
      <c r="B245" s="47" t="s">
        <v>7422</v>
      </c>
      <c r="C245" s="47" t="s">
        <v>64</v>
      </c>
      <c r="D245" s="47" t="s">
        <v>8038</v>
      </c>
      <c r="E245" s="47" t="s">
        <v>8039</v>
      </c>
      <c r="F245" s="47" t="s">
        <v>7810</v>
      </c>
      <c r="G245" s="364">
        <v>46290</v>
      </c>
      <c r="H245" s="47" t="s">
        <v>7769</v>
      </c>
      <c r="I245" s="47" t="s">
        <v>7765</v>
      </c>
      <c r="J245" s="47" t="s">
        <v>7421</v>
      </c>
    </row>
    <row r="246" spans="2:10" ht="14.5">
      <c r="B246" s="47" t="s">
        <v>5559</v>
      </c>
      <c r="C246" s="47" t="s">
        <v>64</v>
      </c>
      <c r="D246" s="47" t="s">
        <v>8040</v>
      </c>
      <c r="E246" s="47" t="s">
        <v>5558</v>
      </c>
      <c r="F246" s="47" t="s">
        <v>7763</v>
      </c>
      <c r="G246" s="364">
        <v>46294</v>
      </c>
      <c r="H246" s="47" t="s">
        <v>7769</v>
      </c>
      <c r="I246" s="47" t="s">
        <v>7765</v>
      </c>
      <c r="J246" s="47" t="s">
        <v>5558</v>
      </c>
    </row>
    <row r="247" spans="2:10" ht="14.5">
      <c r="B247" s="47" t="s">
        <v>5555</v>
      </c>
      <c r="C247" s="47" t="s">
        <v>64</v>
      </c>
      <c r="D247" s="47" t="s">
        <v>8041</v>
      </c>
      <c r="E247" s="47" t="s">
        <v>5553</v>
      </c>
      <c r="F247" s="47" t="s">
        <v>7763</v>
      </c>
      <c r="G247" s="364">
        <v>46294</v>
      </c>
      <c r="H247" s="47" t="s">
        <v>7769</v>
      </c>
      <c r="I247" s="47" t="s">
        <v>7765</v>
      </c>
      <c r="J247" s="47" t="s">
        <v>5553</v>
      </c>
    </row>
    <row r="248" spans="2:10" ht="14.5">
      <c r="B248" s="47" t="s">
        <v>5655</v>
      </c>
      <c r="C248" s="47" t="s">
        <v>64</v>
      </c>
      <c r="D248" s="47" t="s">
        <v>8042</v>
      </c>
      <c r="E248" s="47" t="s">
        <v>5654</v>
      </c>
      <c r="F248" s="47" t="s">
        <v>7763</v>
      </c>
      <c r="G248" s="364">
        <v>46293</v>
      </c>
      <c r="H248" s="47" t="s">
        <v>7769</v>
      </c>
      <c r="I248" s="47" t="s">
        <v>7765</v>
      </c>
      <c r="J248" s="47" t="s">
        <v>5654</v>
      </c>
    </row>
    <row r="249" spans="2:10" ht="14.5">
      <c r="B249" s="47" t="s">
        <v>5604</v>
      </c>
      <c r="C249" s="47" t="s">
        <v>64</v>
      </c>
      <c r="D249" s="47" t="s">
        <v>8043</v>
      </c>
      <c r="E249" s="47" t="s">
        <v>5603</v>
      </c>
      <c r="F249" s="47" t="s">
        <v>7763</v>
      </c>
      <c r="G249" s="364">
        <v>46282</v>
      </c>
      <c r="H249" s="47" t="s">
        <v>7769</v>
      </c>
      <c r="I249" s="47" t="s">
        <v>7765</v>
      </c>
      <c r="J249" s="47" t="s">
        <v>5603</v>
      </c>
    </row>
    <row r="250" spans="2:10" ht="14.5">
      <c r="B250" s="47" t="s">
        <v>5533</v>
      </c>
      <c r="C250" s="47" t="s">
        <v>64</v>
      </c>
      <c r="D250" s="47" t="s">
        <v>8044</v>
      </c>
      <c r="E250" s="47" t="s">
        <v>5532</v>
      </c>
      <c r="F250" s="47" t="s">
        <v>7763</v>
      </c>
      <c r="G250" s="364">
        <v>46297</v>
      </c>
      <c r="H250" s="47" t="s">
        <v>7769</v>
      </c>
      <c r="I250" s="47" t="s">
        <v>7765</v>
      </c>
      <c r="J250" s="47" t="s">
        <v>5532</v>
      </c>
    </row>
    <row r="251" spans="2:10" ht="14.5">
      <c r="B251" s="47" t="s">
        <v>5529</v>
      </c>
      <c r="C251" s="47" t="s">
        <v>64</v>
      </c>
      <c r="D251" s="47" t="s">
        <v>8045</v>
      </c>
      <c r="E251" s="47" t="s">
        <v>5527</v>
      </c>
      <c r="F251" s="47" t="s">
        <v>7763</v>
      </c>
      <c r="G251" s="364">
        <v>46297</v>
      </c>
      <c r="H251" s="47" t="s">
        <v>7769</v>
      </c>
      <c r="I251" s="47" t="s">
        <v>7765</v>
      </c>
      <c r="J251" s="47" t="s">
        <v>5527</v>
      </c>
    </row>
    <row r="252" spans="2:10" ht="14.5">
      <c r="B252" s="47" t="s">
        <v>5382</v>
      </c>
      <c r="C252" s="47" t="s">
        <v>64</v>
      </c>
      <c r="D252" s="47" t="s">
        <v>8046</v>
      </c>
      <c r="E252" s="47" t="s">
        <v>5380</v>
      </c>
      <c r="F252" s="47" t="s">
        <v>7763</v>
      </c>
      <c r="G252" s="364">
        <v>46279</v>
      </c>
      <c r="H252" s="47" t="s">
        <v>7769</v>
      </c>
      <c r="I252" s="47" t="s">
        <v>7765</v>
      </c>
      <c r="J252" s="47" t="s">
        <v>5380</v>
      </c>
    </row>
    <row r="253" spans="2:10" ht="14.5">
      <c r="B253" s="47" t="s">
        <v>5524</v>
      </c>
      <c r="C253" s="47" t="s">
        <v>64</v>
      </c>
      <c r="D253" s="47" t="s">
        <v>8047</v>
      </c>
      <c r="E253" s="47" t="s">
        <v>5523</v>
      </c>
      <c r="F253" s="47" t="s">
        <v>7763</v>
      </c>
      <c r="G253" s="364">
        <v>46297</v>
      </c>
      <c r="H253" s="47" t="s">
        <v>7769</v>
      </c>
      <c r="I253" s="47" t="s">
        <v>7765</v>
      </c>
      <c r="J253" s="47" t="s">
        <v>5523</v>
      </c>
    </row>
    <row r="254" spans="2:10" ht="14.5">
      <c r="B254" s="47" t="s">
        <v>5640</v>
      </c>
      <c r="C254" s="47" t="s">
        <v>64</v>
      </c>
      <c r="D254" s="47" t="s">
        <v>8048</v>
      </c>
      <c r="E254" s="47" t="s">
        <v>5639</v>
      </c>
      <c r="F254" s="47" t="s">
        <v>7763</v>
      </c>
      <c r="G254" s="364">
        <v>46293</v>
      </c>
      <c r="H254" s="47" t="s">
        <v>7769</v>
      </c>
      <c r="I254" s="47" t="s">
        <v>7765</v>
      </c>
      <c r="J254" s="47" t="s">
        <v>5639</v>
      </c>
    </row>
    <row r="255" spans="2:10" ht="14.5">
      <c r="B255" s="47" t="s">
        <v>5659</v>
      </c>
      <c r="C255" s="47" t="s">
        <v>64</v>
      </c>
      <c r="D255" s="47" t="s">
        <v>8049</v>
      </c>
      <c r="E255" s="47" t="s">
        <v>5658</v>
      </c>
      <c r="F255" s="47" t="s">
        <v>7763</v>
      </c>
      <c r="G255" s="364">
        <v>46293</v>
      </c>
      <c r="H255" s="47" t="s">
        <v>7769</v>
      </c>
      <c r="I255" s="47" t="s">
        <v>7765</v>
      </c>
      <c r="J255" s="47" t="s">
        <v>5658</v>
      </c>
    </row>
    <row r="256" spans="2:10" ht="14.5">
      <c r="B256" s="47" t="s">
        <v>5614</v>
      </c>
      <c r="C256" s="47" t="s">
        <v>64</v>
      </c>
      <c r="D256" s="47" t="s">
        <v>8050</v>
      </c>
      <c r="E256" s="47" t="s">
        <v>5613</v>
      </c>
      <c r="F256" s="47" t="s">
        <v>7763</v>
      </c>
      <c r="G256" s="364">
        <v>46283</v>
      </c>
      <c r="H256" s="47" t="s">
        <v>7769</v>
      </c>
      <c r="I256" s="47" t="s">
        <v>7765</v>
      </c>
      <c r="J256" s="47" t="s">
        <v>5613</v>
      </c>
    </row>
    <row r="257" spans="2:10" ht="14.5">
      <c r="B257" s="47" t="s">
        <v>5623</v>
      </c>
      <c r="C257" s="47" t="s">
        <v>64</v>
      </c>
      <c r="D257" s="47" t="s">
        <v>8051</v>
      </c>
      <c r="E257" s="47" t="s">
        <v>5622</v>
      </c>
      <c r="F257" s="47" t="s">
        <v>7763</v>
      </c>
      <c r="G257" s="364">
        <v>46286</v>
      </c>
      <c r="H257" s="47" t="s">
        <v>7769</v>
      </c>
      <c r="I257" s="47" t="s">
        <v>7765</v>
      </c>
      <c r="J257" s="47" t="s">
        <v>5622</v>
      </c>
    </row>
    <row r="258" spans="2:10" ht="14.5">
      <c r="B258" s="47" t="s">
        <v>5501</v>
      </c>
      <c r="C258" s="47" t="s">
        <v>64</v>
      </c>
      <c r="D258" s="47" t="s">
        <v>8052</v>
      </c>
      <c r="E258" s="47" t="s">
        <v>5500</v>
      </c>
      <c r="F258" s="47" t="s">
        <v>7763</v>
      </c>
      <c r="G258" s="364">
        <v>46288</v>
      </c>
      <c r="H258" s="47" t="s">
        <v>7769</v>
      </c>
      <c r="I258" s="47" t="s">
        <v>7765</v>
      </c>
      <c r="J258" s="47" t="s">
        <v>5500</v>
      </c>
    </row>
    <row r="259" spans="2:10" ht="14.5">
      <c r="B259" s="47" t="s">
        <v>5526</v>
      </c>
      <c r="C259" s="47" t="s">
        <v>64</v>
      </c>
      <c r="D259" s="47" t="s">
        <v>8053</v>
      </c>
      <c r="E259" s="47" t="s">
        <v>5525</v>
      </c>
      <c r="F259" s="47" t="s">
        <v>7763</v>
      </c>
      <c r="G259" s="364">
        <v>46297</v>
      </c>
      <c r="H259" s="47" t="s">
        <v>7769</v>
      </c>
      <c r="I259" s="47" t="s">
        <v>7765</v>
      </c>
      <c r="J259" s="47" t="s">
        <v>5525</v>
      </c>
    </row>
    <row r="260" spans="2:10" ht="14.5">
      <c r="B260" s="47" t="s">
        <v>5583</v>
      </c>
      <c r="C260" s="47" t="s">
        <v>64</v>
      </c>
      <c r="D260" s="47" t="s">
        <v>8054</v>
      </c>
      <c r="E260" s="47" t="s">
        <v>5582</v>
      </c>
      <c r="F260" s="47" t="s">
        <v>7763</v>
      </c>
      <c r="G260" s="364">
        <v>46279</v>
      </c>
      <c r="H260" s="47" t="s">
        <v>7769</v>
      </c>
      <c r="I260" s="47" t="s">
        <v>7765</v>
      </c>
      <c r="J260" s="47" t="s">
        <v>5582</v>
      </c>
    </row>
    <row r="261" spans="2:10" ht="14.5">
      <c r="B261" s="47" t="s">
        <v>5588</v>
      </c>
      <c r="C261" s="47" t="s">
        <v>64</v>
      </c>
      <c r="D261" s="47" t="s">
        <v>8055</v>
      </c>
      <c r="E261" s="47" t="s">
        <v>5587</v>
      </c>
      <c r="F261" s="47" t="s">
        <v>7763</v>
      </c>
      <c r="G261" s="364">
        <v>46279</v>
      </c>
      <c r="H261" s="47" t="s">
        <v>7769</v>
      </c>
      <c r="I261" s="47" t="s">
        <v>7765</v>
      </c>
      <c r="J261" s="47" t="s">
        <v>5587</v>
      </c>
    </row>
    <row r="262" spans="2:10" ht="14.5">
      <c r="B262" s="47" t="s">
        <v>5590</v>
      </c>
      <c r="C262" s="47" t="s">
        <v>64</v>
      </c>
      <c r="D262" s="47" t="s">
        <v>8056</v>
      </c>
      <c r="E262" s="47" t="s">
        <v>5589</v>
      </c>
      <c r="F262" s="47" t="s">
        <v>7763</v>
      </c>
      <c r="G262" s="364">
        <v>46279</v>
      </c>
      <c r="H262" s="47" t="s">
        <v>7769</v>
      </c>
      <c r="I262" s="47" t="s">
        <v>7765</v>
      </c>
      <c r="J262" s="47" t="s">
        <v>5589</v>
      </c>
    </row>
    <row r="263" spans="2:10" ht="14.5">
      <c r="B263" s="47" t="s">
        <v>5610</v>
      </c>
      <c r="C263" s="47" t="s">
        <v>64</v>
      </c>
      <c r="D263" s="47" t="s">
        <v>8057</v>
      </c>
      <c r="E263" s="47" t="s">
        <v>5608</v>
      </c>
      <c r="F263" s="47" t="s">
        <v>7763</v>
      </c>
      <c r="G263" s="364">
        <v>46288</v>
      </c>
      <c r="H263" s="47" t="s">
        <v>7769</v>
      </c>
      <c r="I263" s="47" t="s">
        <v>7765</v>
      </c>
      <c r="J263" s="47" t="s">
        <v>5608</v>
      </c>
    </row>
    <row r="264" spans="2:10" ht="14.5">
      <c r="B264" s="47" t="s">
        <v>5618</v>
      </c>
      <c r="C264" s="47" t="s">
        <v>64</v>
      </c>
      <c r="D264" s="47" t="s">
        <v>8058</v>
      </c>
      <c r="E264" s="47" t="s">
        <v>5617</v>
      </c>
      <c r="F264" s="47" t="s">
        <v>7763</v>
      </c>
      <c r="G264" s="364">
        <v>46286</v>
      </c>
      <c r="H264" s="47" t="s">
        <v>7769</v>
      </c>
      <c r="I264" s="47" t="s">
        <v>7765</v>
      </c>
      <c r="J264" s="47" t="s">
        <v>5617</v>
      </c>
    </row>
    <row r="265" spans="2:10" ht="14.5">
      <c r="B265" s="47" t="s">
        <v>5519</v>
      </c>
      <c r="C265" s="47" t="s">
        <v>64</v>
      </c>
      <c r="D265" s="47" t="s">
        <v>8059</v>
      </c>
      <c r="E265" s="47" t="s">
        <v>5517</v>
      </c>
      <c r="F265" s="47" t="s">
        <v>7763</v>
      </c>
      <c r="G265" s="364">
        <v>46297</v>
      </c>
      <c r="H265" s="47" t="s">
        <v>7769</v>
      </c>
      <c r="I265" s="47" t="s">
        <v>7765</v>
      </c>
      <c r="J265" s="47" t="s">
        <v>5517</v>
      </c>
    </row>
    <row r="266" spans="2:10" ht="14.5">
      <c r="B266" s="47" t="s">
        <v>5536</v>
      </c>
      <c r="C266" s="47" t="s">
        <v>64</v>
      </c>
      <c r="D266" s="47" t="s">
        <v>8060</v>
      </c>
      <c r="E266" s="47" t="s">
        <v>5534</v>
      </c>
      <c r="F266" s="47" t="s">
        <v>7763</v>
      </c>
      <c r="G266" s="364">
        <v>46297</v>
      </c>
      <c r="H266" s="47" t="s">
        <v>7769</v>
      </c>
      <c r="I266" s="47" t="s">
        <v>7765</v>
      </c>
      <c r="J266" s="47" t="s">
        <v>5534</v>
      </c>
    </row>
    <row r="267" spans="2:10" ht="14.5">
      <c r="B267" s="47" t="s">
        <v>5651</v>
      </c>
      <c r="C267" s="47" t="s">
        <v>64</v>
      </c>
      <c r="D267" s="47" t="s">
        <v>8061</v>
      </c>
      <c r="E267" s="47" t="s">
        <v>5649</v>
      </c>
      <c r="F267" s="47" t="s">
        <v>7763</v>
      </c>
      <c r="G267" s="364">
        <v>46668</v>
      </c>
      <c r="H267" s="47" t="s">
        <v>7769</v>
      </c>
      <c r="I267" s="47" t="s">
        <v>7765</v>
      </c>
      <c r="J267" s="47" t="s">
        <v>5649</v>
      </c>
    </row>
    <row r="268" spans="2:10" ht="14.5">
      <c r="B268" s="47" t="s">
        <v>4840</v>
      </c>
      <c r="C268" s="47" t="s">
        <v>64</v>
      </c>
      <c r="D268" s="47" t="s">
        <v>8062</v>
      </c>
      <c r="E268" s="47"/>
      <c r="F268" s="47" t="s">
        <v>7763</v>
      </c>
      <c r="G268" s="364">
        <v>46238</v>
      </c>
      <c r="H268" s="47" t="s">
        <v>7764</v>
      </c>
      <c r="I268" s="47" t="s">
        <v>7765</v>
      </c>
      <c r="J268" s="47" t="s">
        <v>8063</v>
      </c>
    </row>
    <row r="269" spans="2:10" ht="14.5">
      <c r="B269" s="47" t="s">
        <v>4963</v>
      </c>
      <c r="C269" s="47" t="s">
        <v>7761</v>
      </c>
      <c r="D269" s="47" t="s">
        <v>8064</v>
      </c>
      <c r="E269" s="47"/>
      <c r="F269" s="47" t="s">
        <v>7763</v>
      </c>
      <c r="G269" s="364">
        <v>46246</v>
      </c>
      <c r="H269" s="47" t="s">
        <v>7764</v>
      </c>
      <c r="I269" s="47" t="s">
        <v>7765</v>
      </c>
      <c r="J269" s="47" t="s">
        <v>8065</v>
      </c>
    </row>
    <row r="270" spans="2:10" ht="14.5">
      <c r="B270" s="47" t="s">
        <v>4957</v>
      </c>
      <c r="C270" s="47" t="s">
        <v>64</v>
      </c>
      <c r="D270" s="47" t="s">
        <v>8064</v>
      </c>
      <c r="E270" s="47"/>
      <c r="F270" s="47" t="s">
        <v>7763</v>
      </c>
      <c r="G270" s="364">
        <v>46246</v>
      </c>
      <c r="H270" s="47" t="s">
        <v>7764</v>
      </c>
      <c r="I270" s="47" t="s">
        <v>7765</v>
      </c>
      <c r="J270" s="47" t="s">
        <v>8066</v>
      </c>
    </row>
    <row r="271" spans="2:10" ht="14.5">
      <c r="B271" s="47" t="s">
        <v>5398</v>
      </c>
      <c r="C271" s="47" t="s">
        <v>7761</v>
      </c>
      <c r="D271" s="47" t="s">
        <v>8067</v>
      </c>
      <c r="E271" s="47" t="s">
        <v>5393</v>
      </c>
      <c r="F271" s="47" t="s">
        <v>7763</v>
      </c>
      <c r="G271" s="364">
        <v>46262</v>
      </c>
      <c r="H271" s="47" t="s">
        <v>7764</v>
      </c>
      <c r="I271" s="47" t="s">
        <v>7765</v>
      </c>
      <c r="J271" s="47" t="s">
        <v>5393</v>
      </c>
    </row>
    <row r="272" spans="2:10" ht="14.5">
      <c r="B272" s="47" t="s">
        <v>5552</v>
      </c>
      <c r="C272" s="47" t="s">
        <v>7761</v>
      </c>
      <c r="D272" s="47" t="s">
        <v>8068</v>
      </c>
      <c r="E272" s="47" t="s">
        <v>5549</v>
      </c>
      <c r="F272" s="47" t="s">
        <v>7763</v>
      </c>
      <c r="G272" s="364">
        <v>46268</v>
      </c>
      <c r="H272" s="47" t="s">
        <v>7764</v>
      </c>
      <c r="I272" s="47" t="s">
        <v>7765</v>
      </c>
      <c r="J272" s="47" t="s">
        <v>5549</v>
      </c>
    </row>
    <row r="273" spans="2:10" ht="14.5">
      <c r="B273" s="47" t="s">
        <v>5545</v>
      </c>
      <c r="C273" s="47" t="s">
        <v>7761</v>
      </c>
      <c r="D273" s="47" t="s">
        <v>8069</v>
      </c>
      <c r="E273" s="47" t="s">
        <v>5543</v>
      </c>
      <c r="F273" s="47" t="s">
        <v>7763</v>
      </c>
      <c r="G273" s="364">
        <v>46268</v>
      </c>
      <c r="H273" s="47" t="s">
        <v>7764</v>
      </c>
      <c r="I273" s="47" t="s">
        <v>7765</v>
      </c>
      <c r="J273" s="47" t="s">
        <v>5543</v>
      </c>
    </row>
    <row r="274" spans="2:10" ht="14.5">
      <c r="B274" s="47" t="s">
        <v>5390</v>
      </c>
      <c r="C274" s="47" t="s">
        <v>7761</v>
      </c>
      <c r="D274" s="47" t="s">
        <v>8070</v>
      </c>
      <c r="E274" s="47" t="s">
        <v>5386</v>
      </c>
      <c r="F274" s="47" t="s">
        <v>7763</v>
      </c>
      <c r="G274" s="364">
        <v>46262</v>
      </c>
      <c r="H274" s="47" t="s">
        <v>7764</v>
      </c>
      <c r="I274" s="47" t="s">
        <v>7765</v>
      </c>
      <c r="J274" s="47" t="s">
        <v>5386</v>
      </c>
    </row>
    <row r="275" spans="2:10" ht="14.5">
      <c r="B275" s="47" t="s">
        <v>5018</v>
      </c>
      <c r="C275" s="47" t="s">
        <v>64</v>
      </c>
      <c r="D275" s="47" t="s">
        <v>8071</v>
      </c>
      <c r="E275" s="47"/>
      <c r="F275" s="47" t="s">
        <v>7763</v>
      </c>
      <c r="G275" s="364">
        <v>46283</v>
      </c>
      <c r="H275" s="47" t="s">
        <v>7769</v>
      </c>
      <c r="I275" s="47" t="s">
        <v>7765</v>
      </c>
      <c r="J275" s="47" t="s">
        <v>8072</v>
      </c>
    </row>
    <row r="276" spans="2:10" ht="14.5">
      <c r="B276" s="47" t="s">
        <v>5014</v>
      </c>
      <c r="C276" s="47" t="s">
        <v>64</v>
      </c>
      <c r="D276" s="47" t="s">
        <v>8073</v>
      </c>
      <c r="E276" s="47"/>
      <c r="F276" s="47" t="s">
        <v>7763</v>
      </c>
      <c r="G276" s="364">
        <v>46272</v>
      </c>
      <c r="H276" s="47" t="s">
        <v>7764</v>
      </c>
      <c r="I276" s="47" t="s">
        <v>7765</v>
      </c>
      <c r="J276" s="47" t="s">
        <v>8074</v>
      </c>
    </row>
    <row r="277" spans="2:10" ht="14.5">
      <c r="B277" s="47" t="s">
        <v>4825</v>
      </c>
      <c r="C277" s="47" t="s">
        <v>64</v>
      </c>
      <c r="D277" s="47" t="s">
        <v>8075</v>
      </c>
      <c r="E277" s="47"/>
      <c r="F277" s="47" t="s">
        <v>7763</v>
      </c>
      <c r="G277" s="364">
        <v>46265</v>
      </c>
      <c r="H277" s="47" t="s">
        <v>7764</v>
      </c>
      <c r="I277" s="47" t="s">
        <v>7765</v>
      </c>
      <c r="J277" s="47" t="s">
        <v>8076</v>
      </c>
    </row>
    <row r="278" spans="2:10" ht="14.5">
      <c r="B278" s="47" t="s">
        <v>7389</v>
      </c>
      <c r="C278" s="47" t="s">
        <v>64</v>
      </c>
      <c r="D278" s="47" t="s">
        <v>8077</v>
      </c>
      <c r="E278" s="47" t="s">
        <v>8078</v>
      </c>
      <c r="F278" s="47" t="s">
        <v>7810</v>
      </c>
      <c r="G278" s="364">
        <v>46268</v>
      </c>
      <c r="H278" s="47" t="s">
        <v>7764</v>
      </c>
      <c r="I278" s="47" t="s">
        <v>7765</v>
      </c>
      <c r="J278" s="47" t="s">
        <v>8079</v>
      </c>
    </row>
    <row r="279" spans="2:10" ht="14.5">
      <c r="B279" s="47" t="s">
        <v>7411</v>
      </c>
      <c r="C279" s="47" t="s">
        <v>64</v>
      </c>
      <c r="D279" s="47" t="s">
        <v>8080</v>
      </c>
      <c r="E279" s="47" t="s">
        <v>8081</v>
      </c>
      <c r="F279" s="47" t="s">
        <v>7810</v>
      </c>
      <c r="G279" s="364">
        <v>46288</v>
      </c>
      <c r="H279" s="47" t="s">
        <v>7769</v>
      </c>
      <c r="I279" s="47" t="s">
        <v>7765</v>
      </c>
      <c r="J279" s="47" t="s">
        <v>8082</v>
      </c>
    </row>
    <row r="280" spans="2:10" ht="14.5">
      <c r="B280" s="47" t="s">
        <v>7417</v>
      </c>
      <c r="C280" s="47" t="s">
        <v>64</v>
      </c>
      <c r="D280" s="47" t="s">
        <v>8083</v>
      </c>
      <c r="E280" s="47" t="s">
        <v>8084</v>
      </c>
      <c r="F280" s="47" t="s">
        <v>7810</v>
      </c>
      <c r="G280" s="364">
        <v>46283</v>
      </c>
      <c r="H280" s="47" t="s">
        <v>7769</v>
      </c>
      <c r="I280" s="47" t="s">
        <v>7765</v>
      </c>
      <c r="J280" s="47" t="s">
        <v>8085</v>
      </c>
    </row>
    <row r="281" spans="2:10" ht="14.5">
      <c r="B281" s="47" t="s">
        <v>7394</v>
      </c>
      <c r="C281" s="47" t="s">
        <v>64</v>
      </c>
      <c r="D281" s="47" t="s">
        <v>8086</v>
      </c>
      <c r="E281" s="47" t="s">
        <v>8087</v>
      </c>
      <c r="F281" s="47" t="s">
        <v>7810</v>
      </c>
      <c r="G281" s="364">
        <v>46279</v>
      </c>
      <c r="H281" s="47" t="s">
        <v>7769</v>
      </c>
      <c r="I281" s="47" t="s">
        <v>7765</v>
      </c>
      <c r="J281" s="47" t="s">
        <v>8088</v>
      </c>
    </row>
    <row r="282" spans="2:10" ht="14.5">
      <c r="B282" s="47" t="s">
        <v>5493</v>
      </c>
      <c r="C282" s="47" t="s">
        <v>64</v>
      </c>
      <c r="D282" s="47" t="s">
        <v>8089</v>
      </c>
      <c r="E282" s="47" t="s">
        <v>5490</v>
      </c>
      <c r="F282" s="47" t="s">
        <v>7763</v>
      </c>
      <c r="G282" s="364">
        <v>46290</v>
      </c>
      <c r="H282" s="47" t="s">
        <v>7769</v>
      </c>
      <c r="I282" s="47" t="s">
        <v>7765</v>
      </c>
      <c r="J282" s="47" t="s">
        <v>5490</v>
      </c>
    </row>
    <row r="283" spans="2:10" ht="14.5">
      <c r="B283" s="47" t="s">
        <v>5579</v>
      </c>
      <c r="C283" s="47" t="s">
        <v>64</v>
      </c>
      <c r="D283" s="47" t="s">
        <v>8090</v>
      </c>
      <c r="E283" s="47" t="s">
        <v>5577</v>
      </c>
      <c r="F283" s="47" t="s">
        <v>7763</v>
      </c>
      <c r="G283" s="364">
        <v>46304</v>
      </c>
      <c r="H283" s="47" t="s">
        <v>7769</v>
      </c>
      <c r="I283" s="47" t="s">
        <v>7765</v>
      </c>
      <c r="J283" s="47" t="s">
        <v>5577</v>
      </c>
    </row>
    <row r="284" spans="2:10" ht="14.5">
      <c r="B284" s="47" t="s">
        <v>5496</v>
      </c>
      <c r="C284" s="47" t="s">
        <v>64</v>
      </c>
      <c r="D284" s="47" t="s">
        <v>8091</v>
      </c>
      <c r="E284" s="47" t="s">
        <v>5495</v>
      </c>
      <c r="F284" s="47" t="s">
        <v>7763</v>
      </c>
      <c r="G284" s="364">
        <v>46288</v>
      </c>
      <c r="H284" s="47" t="s">
        <v>7769</v>
      </c>
      <c r="I284" s="47" t="s">
        <v>7765</v>
      </c>
      <c r="J284" s="47" t="s">
        <v>5495</v>
      </c>
    </row>
    <row r="285" spans="2:10" ht="14.5">
      <c r="B285" s="47" t="s">
        <v>5435</v>
      </c>
      <c r="C285" s="47" t="s">
        <v>64</v>
      </c>
      <c r="D285" s="47" t="s">
        <v>8092</v>
      </c>
      <c r="E285" s="47" t="s">
        <v>5433</v>
      </c>
      <c r="F285" s="47" t="s">
        <v>7763</v>
      </c>
      <c r="G285" s="364">
        <v>46290</v>
      </c>
      <c r="H285" s="47" t="s">
        <v>7769</v>
      </c>
      <c r="I285" s="47" t="s">
        <v>7765</v>
      </c>
      <c r="J285" s="47" t="s">
        <v>5433</v>
      </c>
    </row>
    <row r="286" spans="2:10" ht="14.5">
      <c r="B286" s="47" t="s">
        <v>5440</v>
      </c>
      <c r="C286" s="47" t="s">
        <v>64</v>
      </c>
      <c r="D286" s="47" t="s">
        <v>8093</v>
      </c>
      <c r="E286" s="47" t="s">
        <v>5439</v>
      </c>
      <c r="F286" s="47" t="s">
        <v>7763</v>
      </c>
      <c r="G286" s="364">
        <v>46290</v>
      </c>
      <c r="H286" s="47" t="s">
        <v>7769</v>
      </c>
      <c r="I286" s="47" t="s">
        <v>7765</v>
      </c>
      <c r="J286" s="47" t="s">
        <v>5439</v>
      </c>
    </row>
    <row r="287" spans="2:10" ht="14.5">
      <c r="B287" s="47" t="s">
        <v>5506</v>
      </c>
      <c r="C287" s="47" t="s">
        <v>64</v>
      </c>
      <c r="D287" s="47" t="s">
        <v>8094</v>
      </c>
      <c r="E287" s="47" t="s">
        <v>5504</v>
      </c>
      <c r="F287" s="47" t="s">
        <v>7763</v>
      </c>
      <c r="G287" s="364">
        <v>46282</v>
      </c>
      <c r="H287" s="47" t="s">
        <v>7769</v>
      </c>
      <c r="I287" s="47" t="s">
        <v>7765</v>
      </c>
      <c r="J287" s="47"/>
    </row>
    <row r="288" spans="2:10" ht="14.5">
      <c r="B288" s="47" t="s">
        <v>5511</v>
      </c>
      <c r="C288" s="47" t="s">
        <v>64</v>
      </c>
      <c r="D288" s="47" t="s">
        <v>8095</v>
      </c>
      <c r="E288" s="47" t="s">
        <v>5510</v>
      </c>
      <c r="F288" s="47" t="s">
        <v>7763</v>
      </c>
      <c r="G288" s="364">
        <v>46282</v>
      </c>
      <c r="H288" s="47" t="s">
        <v>7769</v>
      </c>
      <c r="I288" s="47" t="s">
        <v>7765</v>
      </c>
      <c r="J288" s="47" t="s">
        <v>5510</v>
      </c>
    </row>
    <row r="289" spans="2:10" ht="14.5">
      <c r="B289" s="47" t="s">
        <v>5572</v>
      </c>
      <c r="C289" s="47" t="s">
        <v>64</v>
      </c>
      <c r="D289" s="47" t="s">
        <v>8096</v>
      </c>
      <c r="E289" s="47" t="s">
        <v>5571</v>
      </c>
      <c r="F289" s="47" t="s">
        <v>7763</v>
      </c>
      <c r="G289" s="364">
        <v>46283</v>
      </c>
      <c r="H289" s="47" t="s">
        <v>7769</v>
      </c>
      <c r="I289" s="47" t="s">
        <v>7765</v>
      </c>
      <c r="J289" s="47" t="s">
        <v>5571</v>
      </c>
    </row>
    <row r="290" spans="2:10" ht="14.5">
      <c r="B290" s="47" t="s">
        <v>5576</v>
      </c>
      <c r="C290" s="47" t="s">
        <v>64</v>
      </c>
      <c r="D290" s="47" t="s">
        <v>8097</v>
      </c>
      <c r="E290" s="47" t="s">
        <v>5575</v>
      </c>
      <c r="F290" s="47" t="s">
        <v>7763</v>
      </c>
      <c r="G290" s="364">
        <v>46283</v>
      </c>
      <c r="H290" s="47" t="s">
        <v>7769</v>
      </c>
      <c r="I290" s="47" t="s">
        <v>7765</v>
      </c>
      <c r="J290" s="47" t="s">
        <v>5575</v>
      </c>
    </row>
    <row r="291" spans="2:10" ht="14.5">
      <c r="B291" s="47" t="s">
        <v>5420</v>
      </c>
      <c r="C291" s="47" t="s">
        <v>64</v>
      </c>
      <c r="D291" s="47" t="s">
        <v>8098</v>
      </c>
      <c r="E291" s="47" t="s">
        <v>5419</v>
      </c>
      <c r="F291" s="47" t="s">
        <v>7763</v>
      </c>
      <c r="G291" s="364">
        <v>46279</v>
      </c>
      <c r="H291" s="47" t="s">
        <v>7769</v>
      </c>
      <c r="I291" s="47" t="s">
        <v>7765</v>
      </c>
      <c r="J291" s="47" t="s">
        <v>5419</v>
      </c>
    </row>
    <row r="292" spans="2:10" ht="14.5">
      <c r="B292" s="47" t="s">
        <v>5426</v>
      </c>
      <c r="C292" s="47" t="s">
        <v>64</v>
      </c>
      <c r="D292" s="47" t="s">
        <v>8099</v>
      </c>
      <c r="E292" s="47" t="s">
        <v>5425</v>
      </c>
      <c r="F292" s="47" t="s">
        <v>7763</v>
      </c>
      <c r="G292" s="364">
        <v>46279</v>
      </c>
      <c r="H292" s="47" t="s">
        <v>7769</v>
      </c>
      <c r="I292" s="47" t="s">
        <v>7765</v>
      </c>
      <c r="J292" s="47" t="s">
        <v>5425</v>
      </c>
    </row>
    <row r="293" spans="2:10" ht="14.5">
      <c r="B293" s="47" t="s">
        <v>5432</v>
      </c>
      <c r="C293" s="47" t="s">
        <v>64</v>
      </c>
      <c r="D293" s="47" t="s">
        <v>8100</v>
      </c>
      <c r="E293" s="47" t="s">
        <v>5431</v>
      </c>
      <c r="F293" s="47" t="s">
        <v>7763</v>
      </c>
      <c r="G293" s="364">
        <v>46279</v>
      </c>
      <c r="H293" s="47" t="s">
        <v>7769</v>
      </c>
      <c r="I293" s="47" t="s">
        <v>7765</v>
      </c>
      <c r="J293" s="47" t="s">
        <v>5431</v>
      </c>
    </row>
    <row r="294" spans="2:10" ht="14.5">
      <c r="B294" s="47" t="s">
        <v>5446</v>
      </c>
      <c r="C294" s="47" t="s">
        <v>64</v>
      </c>
      <c r="D294" s="47" t="s">
        <v>8101</v>
      </c>
      <c r="E294" s="47" t="s">
        <v>5445</v>
      </c>
      <c r="F294" s="47" t="s">
        <v>7763</v>
      </c>
      <c r="G294" s="364">
        <v>46290</v>
      </c>
      <c r="H294" s="47" t="s">
        <v>7769</v>
      </c>
      <c r="I294" s="47" t="s">
        <v>7765</v>
      </c>
      <c r="J294" s="47" t="s">
        <v>5445</v>
      </c>
    </row>
    <row r="295" spans="2:10" ht="14.5">
      <c r="B295" s="47" t="s">
        <v>5451</v>
      </c>
      <c r="C295" s="47" t="s">
        <v>7761</v>
      </c>
      <c r="D295" s="47" t="s">
        <v>8102</v>
      </c>
      <c r="E295" s="47" t="s">
        <v>5449</v>
      </c>
      <c r="F295" s="47" t="s">
        <v>7763</v>
      </c>
      <c r="G295" s="364">
        <v>46272</v>
      </c>
      <c r="H295" s="47" t="s">
        <v>7764</v>
      </c>
      <c r="I295" s="47" t="s">
        <v>7765</v>
      </c>
      <c r="J295" s="47" t="s">
        <v>5449</v>
      </c>
    </row>
    <row r="296" spans="2:10" ht="14.5">
      <c r="B296" s="47" t="s">
        <v>5456</v>
      </c>
      <c r="C296" s="47" t="s">
        <v>7761</v>
      </c>
      <c r="D296" s="47" t="s">
        <v>8103</v>
      </c>
      <c r="E296" s="47" t="s">
        <v>5454</v>
      </c>
      <c r="F296" s="47" t="s">
        <v>7763</v>
      </c>
      <c r="G296" s="364">
        <v>46272</v>
      </c>
      <c r="H296" s="47" t="s">
        <v>7764</v>
      </c>
      <c r="I296" s="47" t="s">
        <v>7765</v>
      </c>
      <c r="J296" s="47" t="s">
        <v>5454</v>
      </c>
    </row>
    <row r="297" spans="2:10" ht="14.5">
      <c r="B297" s="47" t="s">
        <v>5442</v>
      </c>
      <c r="C297" s="47" t="s">
        <v>64</v>
      </c>
      <c r="D297" s="47" t="s">
        <v>8104</v>
      </c>
      <c r="E297" s="47" t="s">
        <v>5441</v>
      </c>
      <c r="F297" s="47" t="s">
        <v>7763</v>
      </c>
      <c r="G297" s="364">
        <v>46290</v>
      </c>
      <c r="H297" s="47" t="s">
        <v>7769</v>
      </c>
      <c r="I297" s="47" t="s">
        <v>7765</v>
      </c>
      <c r="J297" s="47" t="s">
        <v>5441</v>
      </c>
    </row>
    <row r="298" spans="2:10" ht="14.5">
      <c r="B298" s="47" t="s">
        <v>5448</v>
      </c>
      <c r="C298" s="47" t="s">
        <v>64</v>
      </c>
      <c r="D298" s="47" t="s">
        <v>8105</v>
      </c>
      <c r="E298" s="47" t="s">
        <v>5447</v>
      </c>
      <c r="F298" s="47" t="s">
        <v>7763</v>
      </c>
      <c r="G298" s="364">
        <v>46290</v>
      </c>
      <c r="H298" s="47" t="s">
        <v>7769</v>
      </c>
      <c r="I298" s="47" t="s">
        <v>7765</v>
      </c>
      <c r="J298" s="47" t="s">
        <v>5447</v>
      </c>
    </row>
    <row r="299" spans="2:10" ht="14.5">
      <c r="B299" s="47" t="s">
        <v>5561</v>
      </c>
      <c r="C299" s="47" t="s">
        <v>64</v>
      </c>
      <c r="D299" s="47" t="s">
        <v>8106</v>
      </c>
      <c r="E299" s="47" t="s">
        <v>5560</v>
      </c>
      <c r="F299" s="47" t="s">
        <v>7763</v>
      </c>
      <c r="G299" s="364">
        <v>46314</v>
      </c>
      <c r="H299" s="47" t="s">
        <v>7769</v>
      </c>
      <c r="I299" s="47" t="s">
        <v>7765</v>
      </c>
      <c r="J299" s="47" t="s">
        <v>5560</v>
      </c>
    </row>
    <row r="300" spans="2:10" ht="14.5">
      <c r="B300" s="47" t="s">
        <v>5566</v>
      </c>
      <c r="C300" s="47" t="s">
        <v>64</v>
      </c>
      <c r="D300" s="47" t="s">
        <v>8107</v>
      </c>
      <c r="E300" s="47" t="s">
        <v>5565</v>
      </c>
      <c r="F300" s="47" t="s">
        <v>7763</v>
      </c>
      <c r="G300" s="364">
        <v>46314</v>
      </c>
      <c r="H300" s="47" t="s">
        <v>7769</v>
      </c>
      <c r="I300" s="47" t="s">
        <v>7765</v>
      </c>
      <c r="J300" s="47" t="s">
        <v>5565</v>
      </c>
    </row>
    <row r="301" spans="2:10" ht="14.5">
      <c r="B301" s="47" t="s">
        <v>5570</v>
      </c>
      <c r="C301" s="47" t="s">
        <v>64</v>
      </c>
      <c r="D301" s="47" t="s">
        <v>8108</v>
      </c>
      <c r="E301" s="47" t="s">
        <v>5569</v>
      </c>
      <c r="F301" s="47" t="s">
        <v>7763</v>
      </c>
      <c r="G301" s="364">
        <v>46314</v>
      </c>
      <c r="H301" s="47" t="s">
        <v>7769</v>
      </c>
      <c r="I301" s="47" t="s">
        <v>7765</v>
      </c>
      <c r="J301" s="47" t="s">
        <v>5569</v>
      </c>
    </row>
    <row r="302" spans="2:10" ht="14.5">
      <c r="B302" s="47" t="s">
        <v>5408</v>
      </c>
      <c r="C302" s="47" t="s">
        <v>7761</v>
      </c>
      <c r="D302" s="47" t="s">
        <v>8109</v>
      </c>
      <c r="E302" s="47" t="s">
        <v>5407</v>
      </c>
      <c r="F302" s="47" t="s">
        <v>7763</v>
      </c>
      <c r="G302" s="364">
        <v>46253</v>
      </c>
      <c r="H302" s="47" t="s">
        <v>7764</v>
      </c>
      <c r="I302" s="47" t="s">
        <v>7765</v>
      </c>
      <c r="J302" s="47" t="s">
        <v>5407</v>
      </c>
    </row>
    <row r="303" spans="2:10" ht="14.5">
      <c r="B303" s="47" t="s">
        <v>5403</v>
      </c>
      <c r="C303" s="47" t="s">
        <v>7761</v>
      </c>
      <c r="D303" s="47" t="s">
        <v>8110</v>
      </c>
      <c r="E303" s="47" t="s">
        <v>5401</v>
      </c>
      <c r="F303" s="47" t="s">
        <v>7763</v>
      </c>
      <c r="G303" s="364">
        <v>46253</v>
      </c>
      <c r="H303" s="47" t="s">
        <v>7764</v>
      </c>
      <c r="I303" s="47" t="s">
        <v>7765</v>
      </c>
      <c r="J303" s="47" t="s">
        <v>5401</v>
      </c>
    </row>
    <row r="304" spans="2:10" ht="14.5">
      <c r="B304" s="47" t="s">
        <v>8111</v>
      </c>
      <c r="C304" s="47" t="s">
        <v>7761</v>
      </c>
      <c r="D304" s="47" t="s">
        <v>7901</v>
      </c>
      <c r="E304" s="47" t="s">
        <v>8112</v>
      </c>
      <c r="F304" s="47" t="s">
        <v>7763</v>
      </c>
      <c r="G304" s="364">
        <v>46254</v>
      </c>
      <c r="H304" s="47" t="s">
        <v>7764</v>
      </c>
      <c r="I304" s="47" t="s">
        <v>7765</v>
      </c>
      <c r="J304" s="47" t="s">
        <v>8112</v>
      </c>
    </row>
    <row r="305" spans="2:10" ht="14.5">
      <c r="B305" s="47" t="s">
        <v>5418</v>
      </c>
      <c r="C305" s="47" t="s">
        <v>64</v>
      </c>
      <c r="D305" s="47" t="s">
        <v>8113</v>
      </c>
      <c r="E305" s="47" t="s">
        <v>5416</v>
      </c>
      <c r="F305" s="47" t="s">
        <v>7763</v>
      </c>
      <c r="G305" s="364">
        <v>46286</v>
      </c>
      <c r="H305" s="47" t="s">
        <v>7769</v>
      </c>
      <c r="I305" s="47" t="s">
        <v>7765</v>
      </c>
      <c r="J305" s="47" t="s">
        <v>5416</v>
      </c>
    </row>
    <row r="306" spans="2:10" ht="14.5">
      <c r="B306" s="47" t="s">
        <v>5309</v>
      </c>
      <c r="C306" s="47" t="s">
        <v>64</v>
      </c>
      <c r="D306" s="47" t="s">
        <v>8114</v>
      </c>
      <c r="E306" s="47" t="s">
        <v>5308</v>
      </c>
      <c r="F306" s="47" t="s">
        <v>7763</v>
      </c>
      <c r="G306" s="364">
        <v>46290</v>
      </c>
      <c r="H306" s="47" t="s">
        <v>7769</v>
      </c>
      <c r="I306" s="47" t="s">
        <v>7765</v>
      </c>
      <c r="J306" s="47" t="s">
        <v>5308</v>
      </c>
    </row>
    <row r="307" spans="2:10" ht="14.5">
      <c r="B307" s="47" t="s">
        <v>5311</v>
      </c>
      <c r="C307" s="47" t="s">
        <v>64</v>
      </c>
      <c r="D307" s="47" t="s">
        <v>8115</v>
      </c>
      <c r="E307" s="47" t="s">
        <v>5310</v>
      </c>
      <c r="F307" s="47" t="s">
        <v>7763</v>
      </c>
      <c r="G307" s="364">
        <v>46290</v>
      </c>
      <c r="H307" s="47" t="s">
        <v>7769</v>
      </c>
      <c r="I307" s="47" t="s">
        <v>7765</v>
      </c>
      <c r="J307" s="47" t="s">
        <v>5310</v>
      </c>
    </row>
    <row r="308" spans="2:10" ht="14.5">
      <c r="B308" s="47" t="s">
        <v>5294</v>
      </c>
      <c r="C308" s="47" t="s">
        <v>64</v>
      </c>
      <c r="D308" s="47" t="s">
        <v>8116</v>
      </c>
      <c r="E308" s="47" t="s">
        <v>5292</v>
      </c>
      <c r="F308" s="47" t="s">
        <v>7763</v>
      </c>
      <c r="G308" s="364">
        <v>46288</v>
      </c>
      <c r="H308" s="47" t="s">
        <v>7769</v>
      </c>
      <c r="I308" s="47" t="s">
        <v>7765</v>
      </c>
      <c r="J308" s="47" t="s">
        <v>5292</v>
      </c>
    </row>
    <row r="309" spans="2:10" ht="14.5">
      <c r="B309" s="47" t="s">
        <v>5303</v>
      </c>
      <c r="C309" s="47" t="s">
        <v>64</v>
      </c>
      <c r="D309" s="47" t="s">
        <v>8117</v>
      </c>
      <c r="E309" s="47" t="s">
        <v>5301</v>
      </c>
      <c r="F309" s="47" t="s">
        <v>7763</v>
      </c>
      <c r="G309" s="364">
        <v>46290</v>
      </c>
      <c r="H309" s="47" t="s">
        <v>7769</v>
      </c>
      <c r="I309" s="47" t="s">
        <v>7765</v>
      </c>
      <c r="J309" s="47" t="s">
        <v>5301</v>
      </c>
    </row>
    <row r="310" spans="2:10" ht="14.5">
      <c r="B310" s="47" t="s">
        <v>5300</v>
      </c>
      <c r="C310" s="47" t="s">
        <v>64</v>
      </c>
      <c r="D310" s="47" t="s">
        <v>8118</v>
      </c>
      <c r="E310" s="47" t="s">
        <v>5298</v>
      </c>
      <c r="F310" s="47" t="s">
        <v>7763</v>
      </c>
      <c r="G310" s="364">
        <v>46288</v>
      </c>
      <c r="H310" s="47" t="s">
        <v>7769</v>
      </c>
      <c r="I310" s="47" t="s">
        <v>7765</v>
      </c>
      <c r="J310" s="47" t="s">
        <v>5298</v>
      </c>
    </row>
    <row r="311" spans="2:10" ht="14.5">
      <c r="B311" s="358" t="s">
        <v>5415</v>
      </c>
      <c r="C311" s="47" t="s">
        <v>64</v>
      </c>
      <c r="D311" s="47" t="s">
        <v>8119</v>
      </c>
      <c r="E311" s="47" t="s">
        <v>5414</v>
      </c>
      <c r="F311" s="47" t="s">
        <v>7763</v>
      </c>
      <c r="G311" s="364">
        <v>46286</v>
      </c>
      <c r="H311" s="47" t="s">
        <v>7769</v>
      </c>
      <c r="I311" s="47" t="s">
        <v>7765</v>
      </c>
      <c r="J311" s="47" t="s">
        <v>5414</v>
      </c>
    </row>
    <row r="312" spans="2:10" ht="14.5">
      <c r="B312" s="359" t="s">
        <v>5410</v>
      </c>
      <c r="C312" s="47" t="s">
        <v>64</v>
      </c>
      <c r="D312" s="47" t="s">
        <v>8120</v>
      </c>
      <c r="E312" s="47" t="s">
        <v>5409</v>
      </c>
      <c r="F312" s="47" t="s">
        <v>7763</v>
      </c>
      <c r="G312" s="364">
        <v>46286</v>
      </c>
      <c r="H312" s="47" t="s">
        <v>7769</v>
      </c>
      <c r="I312" s="47" t="s">
        <v>7765</v>
      </c>
      <c r="J312" s="47" t="s">
        <v>5409</v>
      </c>
    </row>
    <row r="313" spans="2:10" ht="14.5">
      <c r="B313" s="47" t="s">
        <v>5307</v>
      </c>
      <c r="C313" s="47" t="s">
        <v>64</v>
      </c>
      <c r="D313" s="47" t="s">
        <v>8121</v>
      </c>
      <c r="E313" s="47" t="s">
        <v>5306</v>
      </c>
      <c r="F313" s="47" t="s">
        <v>7763</v>
      </c>
      <c r="G313" s="364">
        <v>46290</v>
      </c>
      <c r="H313" s="47" t="s">
        <v>7769</v>
      </c>
      <c r="I313" s="47" t="s">
        <v>7765</v>
      </c>
      <c r="J313" s="47" t="s">
        <v>5306</v>
      </c>
    </row>
    <row r="314" spans="2:10" ht="14.5">
      <c r="B314" s="47" t="s">
        <v>5369</v>
      </c>
      <c r="C314" s="47" t="s">
        <v>7761</v>
      </c>
      <c r="D314" s="47" t="s">
        <v>8122</v>
      </c>
      <c r="E314" s="47" t="s">
        <v>5367</v>
      </c>
      <c r="F314" s="47" t="s">
        <v>7763</v>
      </c>
      <c r="G314" s="364">
        <v>46267</v>
      </c>
      <c r="H314" s="47" t="s">
        <v>7764</v>
      </c>
      <c r="I314" s="47" t="s">
        <v>7765</v>
      </c>
      <c r="J314" s="47" t="s">
        <v>5367</v>
      </c>
    </row>
    <row r="315" spans="2:10" ht="14.5">
      <c r="B315" s="47" t="s">
        <v>5487</v>
      </c>
      <c r="C315" s="47" t="s">
        <v>64</v>
      </c>
      <c r="D315" s="47" t="s">
        <v>8123</v>
      </c>
      <c r="E315" s="47" t="s">
        <v>5486</v>
      </c>
      <c r="F315" s="47" t="s">
        <v>7763</v>
      </c>
      <c r="G315" s="364">
        <v>46279</v>
      </c>
      <c r="H315" s="47" t="s">
        <v>7769</v>
      </c>
      <c r="I315" s="47" t="s">
        <v>7765</v>
      </c>
      <c r="J315" s="47" t="s">
        <v>5486</v>
      </c>
    </row>
    <row r="316" spans="2:10" ht="14.5">
      <c r="B316" s="47" t="s">
        <v>5317</v>
      </c>
      <c r="C316" s="47" t="s">
        <v>7761</v>
      </c>
      <c r="D316" s="47" t="s">
        <v>8124</v>
      </c>
      <c r="E316" s="47" t="s">
        <v>5312</v>
      </c>
      <c r="F316" s="47" t="s">
        <v>7763</v>
      </c>
      <c r="G316" s="364">
        <v>46265</v>
      </c>
      <c r="H316" s="47" t="s">
        <v>7764</v>
      </c>
      <c r="I316" s="47" t="s">
        <v>7765</v>
      </c>
      <c r="J316" s="47" t="s">
        <v>5312</v>
      </c>
    </row>
    <row r="317" spans="2:10" ht="14.5">
      <c r="B317" s="47" t="s">
        <v>5458</v>
      </c>
      <c r="C317" s="47" t="s">
        <v>7761</v>
      </c>
      <c r="D317" s="47" t="s">
        <v>8125</v>
      </c>
      <c r="E317" s="47" t="s">
        <v>5457</v>
      </c>
      <c r="F317" s="47" t="s">
        <v>7763</v>
      </c>
      <c r="G317" s="364">
        <v>46260</v>
      </c>
      <c r="H317" s="47" t="s">
        <v>7764</v>
      </c>
      <c r="I317" s="47" t="s">
        <v>7765</v>
      </c>
      <c r="J317" s="47" t="s">
        <v>5457</v>
      </c>
    </row>
    <row r="318" spans="2:10" ht="14.5">
      <c r="B318" s="47" t="s">
        <v>5464</v>
      </c>
      <c r="C318" s="47" t="s">
        <v>7761</v>
      </c>
      <c r="D318" s="47" t="s">
        <v>8126</v>
      </c>
      <c r="E318" s="47" t="s">
        <v>5462</v>
      </c>
      <c r="F318" s="47" t="s">
        <v>7763</v>
      </c>
      <c r="G318" s="364">
        <v>46260</v>
      </c>
      <c r="H318" s="47" t="s">
        <v>7764</v>
      </c>
      <c r="I318" s="47" t="s">
        <v>7765</v>
      </c>
      <c r="J318" s="47" t="s">
        <v>5462</v>
      </c>
    </row>
    <row r="319" spans="2:10" ht="14.5">
      <c r="B319" s="47" t="s">
        <v>5470</v>
      </c>
      <c r="C319" s="47" t="s">
        <v>7761</v>
      </c>
      <c r="D319" s="47" t="s">
        <v>8127</v>
      </c>
      <c r="E319" s="47" t="s">
        <v>5468</v>
      </c>
      <c r="F319" s="47" t="s">
        <v>7763</v>
      </c>
      <c r="G319" s="364">
        <v>46260</v>
      </c>
      <c r="H319" s="47" t="s">
        <v>7764</v>
      </c>
      <c r="I319" s="47" t="s">
        <v>7765</v>
      </c>
      <c r="J319" s="47" t="s">
        <v>5468</v>
      </c>
    </row>
    <row r="320" spans="2:10" ht="14.5">
      <c r="B320" s="47" t="s">
        <v>5473</v>
      </c>
      <c r="C320" s="47" t="s">
        <v>7761</v>
      </c>
      <c r="D320" s="47" t="s">
        <v>8128</v>
      </c>
      <c r="E320" s="47" t="s">
        <v>5471</v>
      </c>
      <c r="F320" s="47" t="s">
        <v>7763</v>
      </c>
      <c r="G320" s="364">
        <v>46260</v>
      </c>
      <c r="H320" s="47" t="s">
        <v>7764</v>
      </c>
      <c r="I320" s="47" t="s">
        <v>7765</v>
      </c>
      <c r="J320" s="47" t="s">
        <v>5471</v>
      </c>
    </row>
    <row r="321" spans="2:10" ht="14.5">
      <c r="B321" s="47" t="s">
        <v>5476</v>
      </c>
      <c r="C321" s="47" t="s">
        <v>7761</v>
      </c>
      <c r="D321" s="47" t="s">
        <v>8129</v>
      </c>
      <c r="E321" s="47" t="s">
        <v>5474</v>
      </c>
      <c r="F321" s="47" t="s">
        <v>7763</v>
      </c>
      <c r="G321" s="364">
        <v>46260</v>
      </c>
      <c r="H321" s="47" t="s">
        <v>7764</v>
      </c>
      <c r="I321" s="47" t="s">
        <v>7765</v>
      </c>
      <c r="J321" s="47" t="s">
        <v>5474</v>
      </c>
    </row>
    <row r="322" spans="2:10" ht="14.5">
      <c r="B322" s="47" t="s">
        <v>5478</v>
      </c>
      <c r="C322" s="47" t="s">
        <v>64</v>
      </c>
      <c r="D322" s="47" t="s">
        <v>8130</v>
      </c>
      <c r="E322" s="47" t="s">
        <v>5477</v>
      </c>
      <c r="F322" s="47" t="s">
        <v>7763</v>
      </c>
      <c r="G322" s="364">
        <v>46300</v>
      </c>
      <c r="H322" s="47" t="s">
        <v>7769</v>
      </c>
      <c r="I322" s="47" t="s">
        <v>7765</v>
      </c>
      <c r="J322" s="47" t="s">
        <v>5477</v>
      </c>
    </row>
    <row r="323" spans="2:10" ht="14.5">
      <c r="B323" s="47" t="s">
        <v>5483</v>
      </c>
      <c r="C323" s="47" t="s">
        <v>64</v>
      </c>
      <c r="D323" s="47" t="s">
        <v>8131</v>
      </c>
      <c r="E323" s="47" t="s">
        <v>5482</v>
      </c>
      <c r="F323" s="47" t="s">
        <v>7763</v>
      </c>
      <c r="G323" s="364">
        <v>46295</v>
      </c>
      <c r="H323" s="47" t="s">
        <v>7769</v>
      </c>
      <c r="I323" s="47" t="s">
        <v>7765</v>
      </c>
      <c r="J323" s="47" t="s">
        <v>5482</v>
      </c>
    </row>
    <row r="324" spans="2:10" ht="14.5">
      <c r="B324" s="47" t="s">
        <v>5377</v>
      </c>
      <c r="C324" s="47" t="s">
        <v>64</v>
      </c>
      <c r="D324" s="47" t="s">
        <v>8132</v>
      </c>
      <c r="E324" s="47" t="s">
        <v>5373</v>
      </c>
      <c r="F324" s="47" t="s">
        <v>7763</v>
      </c>
      <c r="G324" s="364">
        <v>46267</v>
      </c>
      <c r="H324" s="47" t="s">
        <v>7764</v>
      </c>
      <c r="I324" s="47" t="s">
        <v>7765</v>
      </c>
      <c r="J324" s="47" t="s">
        <v>5373</v>
      </c>
    </row>
    <row r="325" spans="2:10" ht="14.5">
      <c r="B325" s="47" t="s">
        <v>5343</v>
      </c>
      <c r="C325" s="47" t="s">
        <v>64</v>
      </c>
      <c r="D325" s="47" t="s">
        <v>8133</v>
      </c>
      <c r="E325" s="47" t="s">
        <v>5339</v>
      </c>
      <c r="F325" s="47" t="s">
        <v>7763</v>
      </c>
      <c r="G325" s="364">
        <v>46307</v>
      </c>
      <c r="H325" s="47" t="s">
        <v>7769</v>
      </c>
      <c r="I325" s="47" t="s">
        <v>7765</v>
      </c>
      <c r="J325" s="47" t="s">
        <v>5339</v>
      </c>
    </row>
    <row r="326" spans="2:10" ht="14.5">
      <c r="B326" s="47" t="s">
        <v>5349</v>
      </c>
      <c r="C326" s="47" t="s">
        <v>7761</v>
      </c>
      <c r="D326" s="47" t="s">
        <v>8134</v>
      </c>
      <c r="E326" s="47" t="s">
        <v>5347</v>
      </c>
      <c r="F326" s="47" t="s">
        <v>7763</v>
      </c>
      <c r="G326" s="364">
        <v>46279</v>
      </c>
      <c r="H326" s="47" t="s">
        <v>7764</v>
      </c>
      <c r="I326" s="47" t="s">
        <v>7765</v>
      </c>
      <c r="J326" s="47"/>
    </row>
    <row r="327" spans="2:10" ht="14.5">
      <c r="B327" s="47" t="s">
        <v>5322</v>
      </c>
      <c r="C327" s="47" t="s">
        <v>64</v>
      </c>
      <c r="D327" s="47" t="s">
        <v>8135</v>
      </c>
      <c r="E327" s="47" t="s">
        <v>5320</v>
      </c>
      <c r="F327" s="47" t="s">
        <v>7763</v>
      </c>
      <c r="G327" s="364">
        <v>46286</v>
      </c>
      <c r="H327" s="47" t="s">
        <v>7769</v>
      </c>
      <c r="I327" s="47" t="s">
        <v>7765</v>
      </c>
      <c r="J327" s="47" t="s">
        <v>5320</v>
      </c>
    </row>
    <row r="328" spans="2:10" ht="14.5">
      <c r="B328" s="47" t="s">
        <v>5327</v>
      </c>
      <c r="C328" s="47" t="s">
        <v>64</v>
      </c>
      <c r="D328" s="47" t="s">
        <v>8136</v>
      </c>
      <c r="E328" s="47" t="s">
        <v>5326</v>
      </c>
      <c r="F328" s="47" t="s">
        <v>7763</v>
      </c>
      <c r="G328" s="364">
        <v>46286</v>
      </c>
      <c r="H328" s="47" t="s">
        <v>7769</v>
      </c>
      <c r="I328" s="47" t="s">
        <v>7765</v>
      </c>
      <c r="J328" s="47" t="s">
        <v>5326</v>
      </c>
    </row>
    <row r="329" spans="2:10" ht="14.5">
      <c r="B329" s="47" t="s">
        <v>5354</v>
      </c>
      <c r="C329" s="47" t="s">
        <v>7761</v>
      </c>
      <c r="D329" s="47" t="s">
        <v>8137</v>
      </c>
      <c r="E329" s="47" t="s">
        <v>5352</v>
      </c>
      <c r="F329" s="47" t="s">
        <v>7763</v>
      </c>
      <c r="G329" s="364">
        <v>46279</v>
      </c>
      <c r="H329" s="47" t="s">
        <v>7764</v>
      </c>
      <c r="I329" s="47" t="s">
        <v>7765</v>
      </c>
      <c r="J329" s="47" t="s">
        <v>5352</v>
      </c>
    </row>
    <row r="330" spans="2:10" ht="14.5">
      <c r="B330" s="47" t="s">
        <v>5364</v>
      </c>
      <c r="C330" s="47" t="s">
        <v>7761</v>
      </c>
      <c r="D330" s="47" t="s">
        <v>8138</v>
      </c>
      <c r="E330" s="47" t="s">
        <v>5362</v>
      </c>
      <c r="F330" s="47" t="s">
        <v>7763</v>
      </c>
      <c r="G330" s="364">
        <v>46274</v>
      </c>
      <c r="H330" s="47" t="s">
        <v>7764</v>
      </c>
      <c r="I330" s="47" t="s">
        <v>7765</v>
      </c>
      <c r="J330" s="47" t="s">
        <v>5362</v>
      </c>
    </row>
    <row r="331" spans="2:10" ht="14.5">
      <c r="B331" s="47" t="s">
        <v>5359</v>
      </c>
      <c r="C331" s="47" t="s">
        <v>7761</v>
      </c>
      <c r="D331" s="47" t="s">
        <v>8139</v>
      </c>
      <c r="E331" s="47" t="s">
        <v>5357</v>
      </c>
      <c r="F331" s="47" t="s">
        <v>7763</v>
      </c>
      <c r="G331" s="364">
        <v>46274</v>
      </c>
      <c r="H331" s="47" t="s">
        <v>7764</v>
      </c>
      <c r="I331" s="47" t="s">
        <v>7765</v>
      </c>
      <c r="J331" s="47" t="s">
        <v>5357</v>
      </c>
    </row>
    <row r="332" spans="2:10" ht="14.5">
      <c r="B332" s="47" t="s">
        <v>7357</v>
      </c>
      <c r="C332" s="47" t="s">
        <v>64</v>
      </c>
      <c r="D332" s="47" t="s">
        <v>8140</v>
      </c>
      <c r="E332" s="47" t="s">
        <v>8141</v>
      </c>
      <c r="F332" s="47" t="s">
        <v>7810</v>
      </c>
      <c r="G332" s="364">
        <v>46248</v>
      </c>
      <c r="H332" s="47" t="s">
        <v>7764</v>
      </c>
      <c r="I332" s="47" t="s">
        <v>7765</v>
      </c>
      <c r="J332" s="47" t="s">
        <v>8142</v>
      </c>
    </row>
    <row r="333" spans="2:10" ht="14.5">
      <c r="B333" s="47" t="s">
        <v>7366</v>
      </c>
      <c r="C333" s="47" t="s">
        <v>64</v>
      </c>
      <c r="D333" s="47" t="s">
        <v>8143</v>
      </c>
      <c r="E333" s="47" t="s">
        <v>8144</v>
      </c>
      <c r="F333" s="47" t="s">
        <v>7810</v>
      </c>
      <c r="G333" s="364">
        <v>46255</v>
      </c>
      <c r="H333" s="47" t="s">
        <v>7764</v>
      </c>
      <c r="I333" s="47" t="s">
        <v>7765</v>
      </c>
      <c r="J333" s="47" t="s">
        <v>8145</v>
      </c>
    </row>
    <row r="334" spans="2:10" ht="14.5">
      <c r="B334" s="47" t="s">
        <v>4651</v>
      </c>
      <c r="C334" s="47" t="s">
        <v>64</v>
      </c>
      <c r="D334" s="47" t="s">
        <v>8146</v>
      </c>
      <c r="E334" s="47"/>
      <c r="F334" s="47" t="s">
        <v>7763</v>
      </c>
      <c r="G334" s="364">
        <v>46215</v>
      </c>
      <c r="H334" s="47" t="s">
        <v>7764</v>
      </c>
      <c r="I334" s="47" t="s">
        <v>7765</v>
      </c>
      <c r="J334" s="47" t="s">
        <v>8147</v>
      </c>
    </row>
    <row r="335" spans="2:10" ht="14.5">
      <c r="B335" s="47" t="s">
        <v>4649</v>
      </c>
      <c r="C335" s="47" t="s">
        <v>64</v>
      </c>
      <c r="D335" s="47" t="s">
        <v>8148</v>
      </c>
      <c r="E335" s="47"/>
      <c r="F335" s="47" t="s">
        <v>7763</v>
      </c>
      <c r="G335" s="364">
        <v>46218</v>
      </c>
      <c r="H335" s="47" t="s">
        <v>7764</v>
      </c>
      <c r="I335" s="47" t="s">
        <v>7765</v>
      </c>
      <c r="J335" s="47" t="s">
        <v>8149</v>
      </c>
    </row>
    <row r="336" spans="2:10" ht="14.5">
      <c r="B336" s="47" t="s">
        <v>4644</v>
      </c>
      <c r="C336" s="47" t="s">
        <v>64</v>
      </c>
      <c r="D336" s="47" t="s">
        <v>8150</v>
      </c>
      <c r="E336" s="47"/>
      <c r="F336" s="47" t="s">
        <v>7763</v>
      </c>
      <c r="G336" s="364">
        <v>46218</v>
      </c>
      <c r="H336" s="47" t="s">
        <v>7764</v>
      </c>
      <c r="I336" s="47" t="s">
        <v>7765</v>
      </c>
      <c r="J336" s="47" t="s">
        <v>8151</v>
      </c>
    </row>
    <row r="337" spans="2:10" ht="14.5">
      <c r="B337" s="47" t="s">
        <v>4554</v>
      </c>
      <c r="C337" s="47" t="s">
        <v>7761</v>
      </c>
      <c r="D337" s="47" t="s">
        <v>8152</v>
      </c>
      <c r="E337" s="47"/>
      <c r="F337" s="47" t="s">
        <v>7763</v>
      </c>
      <c r="G337" s="364">
        <v>46244</v>
      </c>
      <c r="H337" s="47" t="s">
        <v>7764</v>
      </c>
      <c r="I337" s="47" t="s">
        <v>7765</v>
      </c>
      <c r="J337" s="47" t="s">
        <v>8153</v>
      </c>
    </row>
    <row r="338" spans="2:10" ht="14.5">
      <c r="B338" s="47" t="s">
        <v>4548</v>
      </c>
      <c r="C338" s="47" t="s">
        <v>7761</v>
      </c>
      <c r="D338" s="47" t="s">
        <v>8154</v>
      </c>
      <c r="E338" s="47"/>
      <c r="F338" s="47" t="s">
        <v>7763</v>
      </c>
      <c r="G338" s="364">
        <v>46244</v>
      </c>
      <c r="H338" s="47" t="s">
        <v>7764</v>
      </c>
      <c r="I338" s="47" t="s">
        <v>7765</v>
      </c>
      <c r="J338" s="47" t="s">
        <v>8155</v>
      </c>
    </row>
    <row r="339" spans="2:10" ht="14.5">
      <c r="B339" s="47" t="s">
        <v>2385</v>
      </c>
      <c r="C339" s="47" t="s">
        <v>7761</v>
      </c>
      <c r="D339" s="47" t="s">
        <v>8156</v>
      </c>
      <c r="E339" s="47"/>
      <c r="F339" s="47" t="s">
        <v>7763</v>
      </c>
      <c r="G339" s="364">
        <v>46223</v>
      </c>
      <c r="H339" s="47" t="s">
        <v>7764</v>
      </c>
      <c r="I339" s="47" t="s">
        <v>7765</v>
      </c>
      <c r="J339" s="47" t="s">
        <v>8157</v>
      </c>
    </row>
    <row r="340" spans="2:10" ht="14.5">
      <c r="B340" s="47" t="s">
        <v>2378</v>
      </c>
      <c r="C340" s="47" t="s">
        <v>64</v>
      </c>
      <c r="D340" s="47" t="s">
        <v>8156</v>
      </c>
      <c r="E340" s="47"/>
      <c r="F340" s="47" t="s">
        <v>7763</v>
      </c>
      <c r="G340" s="364">
        <v>46223</v>
      </c>
      <c r="H340" s="47" t="s">
        <v>7764</v>
      </c>
      <c r="I340" s="47" t="s">
        <v>7765</v>
      </c>
      <c r="J340" s="47" t="s">
        <v>8157</v>
      </c>
    </row>
    <row r="341" spans="2:10" ht="14.5">
      <c r="B341" s="47" t="s">
        <v>8158</v>
      </c>
      <c r="C341" s="47" t="s">
        <v>7761</v>
      </c>
      <c r="D341" s="47" t="s">
        <v>8159</v>
      </c>
      <c r="E341" s="47" t="s">
        <v>5261</v>
      </c>
      <c r="F341" s="47" t="s">
        <v>7763</v>
      </c>
      <c r="G341" s="364">
        <v>46269</v>
      </c>
      <c r="H341" s="47" t="s">
        <v>7764</v>
      </c>
      <c r="I341" s="47" t="s">
        <v>7765</v>
      </c>
      <c r="J341" s="47"/>
    </row>
    <row r="342" spans="2:10" ht="14.5">
      <c r="B342" s="47" t="s">
        <v>5221</v>
      </c>
      <c r="C342" s="47" t="s">
        <v>64</v>
      </c>
      <c r="D342" s="47" t="s">
        <v>8160</v>
      </c>
      <c r="E342" s="47" t="s">
        <v>5220</v>
      </c>
      <c r="F342" s="47" t="s">
        <v>7763</v>
      </c>
      <c r="G342" s="364">
        <v>46283</v>
      </c>
      <c r="H342" s="47" t="s">
        <v>7769</v>
      </c>
      <c r="I342" s="47" t="s">
        <v>7765</v>
      </c>
      <c r="J342" s="47" t="s">
        <v>5220</v>
      </c>
    </row>
    <row r="343" spans="2:10" ht="14.5">
      <c r="B343" s="47" t="s">
        <v>5272</v>
      </c>
      <c r="C343" s="47" t="s">
        <v>7761</v>
      </c>
      <c r="D343" s="47" t="s">
        <v>8161</v>
      </c>
      <c r="E343" s="47" t="s">
        <v>5270</v>
      </c>
      <c r="F343" s="47" t="s">
        <v>7763</v>
      </c>
      <c r="G343" s="364">
        <v>46260</v>
      </c>
      <c r="H343" s="47" t="s">
        <v>7764</v>
      </c>
      <c r="I343" s="47" t="s">
        <v>7765</v>
      </c>
      <c r="J343" s="47"/>
    </row>
    <row r="344" spans="2:10" ht="14.5">
      <c r="B344" s="47" t="s">
        <v>5219</v>
      </c>
      <c r="C344" s="47" t="s">
        <v>64</v>
      </c>
      <c r="D344" s="47" t="s">
        <v>8162</v>
      </c>
      <c r="E344" s="47" t="s">
        <v>5217</v>
      </c>
      <c r="F344" s="47" t="s">
        <v>7763</v>
      </c>
      <c r="G344" s="364">
        <v>46283</v>
      </c>
      <c r="H344" s="47" t="s">
        <v>7769</v>
      </c>
      <c r="I344" s="47" t="s">
        <v>7765</v>
      </c>
      <c r="J344" s="47" t="s">
        <v>5217</v>
      </c>
    </row>
    <row r="345" spans="2:10" ht="14.5">
      <c r="B345" s="47" t="s">
        <v>5212</v>
      </c>
      <c r="C345" s="47" t="s">
        <v>64</v>
      </c>
      <c r="D345" s="47" t="s">
        <v>8163</v>
      </c>
      <c r="E345" s="47" t="s">
        <v>5211</v>
      </c>
      <c r="F345" s="47" t="s">
        <v>7763</v>
      </c>
      <c r="G345" s="364">
        <v>46283</v>
      </c>
      <c r="H345" s="47" t="s">
        <v>7769</v>
      </c>
      <c r="I345" s="47" t="s">
        <v>7765</v>
      </c>
      <c r="J345" s="47" t="s">
        <v>5211</v>
      </c>
    </row>
    <row r="346" spans="2:10" ht="14.5">
      <c r="B346" s="47" t="s">
        <v>5281</v>
      </c>
      <c r="C346" s="47" t="s">
        <v>7761</v>
      </c>
      <c r="D346" s="47" t="s">
        <v>8164</v>
      </c>
      <c r="E346" s="47" t="s">
        <v>5280</v>
      </c>
      <c r="F346" s="47" t="s">
        <v>7763</v>
      </c>
      <c r="G346" s="364">
        <v>46245</v>
      </c>
      <c r="H346" s="47" t="s">
        <v>7764</v>
      </c>
      <c r="I346" s="47" t="s">
        <v>7765</v>
      </c>
      <c r="J346" s="47"/>
    </row>
    <row r="347" spans="2:10" ht="14.5">
      <c r="B347" s="47" t="s">
        <v>5173</v>
      </c>
      <c r="C347" s="47" t="s">
        <v>7761</v>
      </c>
      <c r="D347" s="47" t="s">
        <v>8165</v>
      </c>
      <c r="E347" s="47" t="s">
        <v>5172</v>
      </c>
      <c r="F347" s="47" t="s">
        <v>7763</v>
      </c>
      <c r="G347" s="364">
        <v>46238</v>
      </c>
      <c r="H347" s="47" t="s">
        <v>7764</v>
      </c>
      <c r="I347" s="47" t="s">
        <v>7765</v>
      </c>
      <c r="J347" s="47"/>
    </row>
    <row r="348" spans="2:10" ht="14.5">
      <c r="B348" s="47" t="s">
        <v>5288</v>
      </c>
      <c r="C348" s="47" t="s">
        <v>7761</v>
      </c>
      <c r="D348" s="47" t="s">
        <v>8166</v>
      </c>
      <c r="E348" s="47" t="s">
        <v>5287</v>
      </c>
      <c r="F348" s="47" t="s">
        <v>7763</v>
      </c>
      <c r="G348" s="364">
        <v>46246</v>
      </c>
      <c r="H348" s="47" t="s">
        <v>7764</v>
      </c>
      <c r="I348" s="47" t="s">
        <v>7765</v>
      </c>
      <c r="J348" s="47"/>
    </row>
    <row r="349" spans="2:10" ht="14.5">
      <c r="B349" s="47" t="s">
        <v>5283</v>
      </c>
      <c r="C349" s="47" t="s">
        <v>7761</v>
      </c>
      <c r="D349" s="47" t="s">
        <v>8167</v>
      </c>
      <c r="E349" s="47" t="s">
        <v>5282</v>
      </c>
      <c r="F349" s="47" t="s">
        <v>7763</v>
      </c>
      <c r="G349" s="364">
        <v>46256</v>
      </c>
      <c r="H349" s="47" t="s">
        <v>7764</v>
      </c>
      <c r="I349" s="47" t="s">
        <v>7765</v>
      </c>
      <c r="J349" s="47"/>
    </row>
    <row r="350" spans="2:10" ht="14.5">
      <c r="B350" s="47" t="s">
        <v>5277</v>
      </c>
      <c r="C350" s="47" t="s">
        <v>7761</v>
      </c>
      <c r="D350" s="47" t="s">
        <v>8168</v>
      </c>
      <c r="E350" s="47" t="s">
        <v>5276</v>
      </c>
      <c r="F350" s="47" t="s">
        <v>7763</v>
      </c>
      <c r="G350" s="364">
        <v>46245</v>
      </c>
      <c r="H350" s="47" t="s">
        <v>7764</v>
      </c>
      <c r="I350" s="47" t="s">
        <v>7765</v>
      </c>
      <c r="J350" s="47"/>
    </row>
    <row r="351" spans="2:10" ht="14.5">
      <c r="B351" s="47" t="s">
        <v>5242</v>
      </c>
      <c r="C351" s="47" t="s">
        <v>64</v>
      </c>
      <c r="D351" s="47" t="s">
        <v>8169</v>
      </c>
      <c r="E351" s="47" t="s">
        <v>5241</v>
      </c>
      <c r="F351" s="47" t="s">
        <v>7763</v>
      </c>
      <c r="G351" s="364">
        <v>46286</v>
      </c>
      <c r="H351" s="47" t="s">
        <v>7769</v>
      </c>
      <c r="I351" s="47" t="s">
        <v>7765</v>
      </c>
      <c r="J351" s="47" t="s">
        <v>5241</v>
      </c>
    </row>
    <row r="352" spans="2:10" ht="14.5">
      <c r="B352" s="47" t="s">
        <v>8170</v>
      </c>
      <c r="C352" s="47" t="s">
        <v>7761</v>
      </c>
      <c r="D352" s="47" t="s">
        <v>8171</v>
      </c>
      <c r="E352" s="47" t="s">
        <v>5261</v>
      </c>
      <c r="F352" s="47" t="s">
        <v>7763</v>
      </c>
      <c r="G352" s="364">
        <v>46269</v>
      </c>
      <c r="H352" s="47" t="s">
        <v>7764</v>
      </c>
      <c r="I352" s="47" t="s">
        <v>7765</v>
      </c>
      <c r="J352" s="47" t="s">
        <v>5261</v>
      </c>
    </row>
    <row r="353" spans="2:10" ht="14.5">
      <c r="B353" s="47" t="s">
        <v>5238</v>
      </c>
      <c r="C353" s="47" t="s">
        <v>64</v>
      </c>
      <c r="D353" s="47" t="s">
        <v>8172</v>
      </c>
      <c r="E353" s="47" t="s">
        <v>5237</v>
      </c>
      <c r="F353" s="47" t="s">
        <v>7763</v>
      </c>
      <c r="G353" s="364">
        <v>46276</v>
      </c>
      <c r="H353" s="47" t="s">
        <v>7764</v>
      </c>
      <c r="I353" s="47" t="s">
        <v>7765</v>
      </c>
      <c r="J353" s="47" t="s">
        <v>5237</v>
      </c>
    </row>
    <row r="354" spans="2:10" ht="14.5">
      <c r="B354" s="47" t="s">
        <v>5214</v>
      </c>
      <c r="C354" s="47" t="s">
        <v>64</v>
      </c>
      <c r="D354" s="47" t="s">
        <v>8173</v>
      </c>
      <c r="E354" s="47" t="s">
        <v>5213</v>
      </c>
      <c r="F354" s="47" t="s">
        <v>7763</v>
      </c>
      <c r="G354" s="364">
        <v>46283</v>
      </c>
      <c r="H354" s="47" t="s">
        <v>7769</v>
      </c>
      <c r="I354" s="47" t="s">
        <v>7765</v>
      </c>
      <c r="J354" s="47" t="s">
        <v>5213</v>
      </c>
    </row>
    <row r="355" spans="2:10" ht="14.5">
      <c r="B355" s="47" t="s">
        <v>5200</v>
      </c>
      <c r="C355" s="47" t="s">
        <v>64</v>
      </c>
      <c r="D355" s="363" t="s">
        <v>8174</v>
      </c>
      <c r="E355" s="363" t="s">
        <v>5197</v>
      </c>
      <c r="F355" s="47" t="s">
        <v>7763</v>
      </c>
      <c r="G355" s="364">
        <v>46283</v>
      </c>
      <c r="H355" s="47" t="s">
        <v>7769</v>
      </c>
      <c r="I355" s="47" t="s">
        <v>7765</v>
      </c>
      <c r="J355" s="47" t="s">
        <v>5197</v>
      </c>
    </row>
    <row r="356" spans="2:10" ht="14.5">
      <c r="B356" s="47" t="s">
        <v>5205</v>
      </c>
      <c r="C356" s="47" t="s">
        <v>64</v>
      </c>
      <c r="D356" s="47" t="s">
        <v>8175</v>
      </c>
      <c r="E356" s="47" t="s">
        <v>5204</v>
      </c>
      <c r="F356" s="47" t="s">
        <v>7763</v>
      </c>
      <c r="G356" s="364">
        <v>46283</v>
      </c>
      <c r="H356" s="47" t="s">
        <v>7769</v>
      </c>
      <c r="I356" s="47" t="s">
        <v>7765</v>
      </c>
      <c r="J356" s="47" t="s">
        <v>5204</v>
      </c>
    </row>
    <row r="357" spans="2:10" ht="14.5">
      <c r="B357" s="47" t="s">
        <v>5208</v>
      </c>
      <c r="C357" s="47" t="s">
        <v>64</v>
      </c>
      <c r="D357" s="47" t="s">
        <v>8176</v>
      </c>
      <c r="E357" s="47" t="s">
        <v>5207</v>
      </c>
      <c r="F357" s="47" t="s">
        <v>7763</v>
      </c>
      <c r="G357" s="364">
        <v>46283</v>
      </c>
      <c r="H357" s="47" t="s">
        <v>7769</v>
      </c>
      <c r="I357" s="47" t="s">
        <v>7765</v>
      </c>
      <c r="J357" s="47" t="s">
        <v>5207</v>
      </c>
    </row>
    <row r="358" spans="2:10" ht="14.5">
      <c r="B358" s="47" t="s">
        <v>2294</v>
      </c>
      <c r="C358" s="47" t="s">
        <v>64</v>
      </c>
      <c r="D358" s="47" t="s">
        <v>8177</v>
      </c>
      <c r="E358" s="47"/>
      <c r="F358" s="47" t="s">
        <v>7763</v>
      </c>
      <c r="G358" s="364">
        <v>46213</v>
      </c>
      <c r="H358" s="47" t="s">
        <v>7764</v>
      </c>
      <c r="I358" s="47" t="s">
        <v>7765</v>
      </c>
      <c r="J358" s="47" t="s">
        <v>8178</v>
      </c>
    </row>
    <row r="359" spans="2:10" ht="14.5">
      <c r="B359" s="47" t="s">
        <v>2289</v>
      </c>
      <c r="C359" s="47" t="s">
        <v>7761</v>
      </c>
      <c r="D359" s="47" t="s">
        <v>8177</v>
      </c>
      <c r="E359" s="47"/>
      <c r="F359" s="47" t="s">
        <v>7763</v>
      </c>
      <c r="G359" s="364">
        <v>46213</v>
      </c>
      <c r="H359" s="47" t="s">
        <v>7764</v>
      </c>
      <c r="I359" s="47" t="s">
        <v>7765</v>
      </c>
      <c r="J359" s="47" t="s">
        <v>8179</v>
      </c>
    </row>
    <row r="360" spans="2:10" ht="14.5">
      <c r="B360" s="47" t="s">
        <v>5087</v>
      </c>
      <c r="C360" s="47" t="s">
        <v>64</v>
      </c>
      <c r="D360" s="47" t="s">
        <v>8180</v>
      </c>
      <c r="E360" s="47" t="s">
        <v>5084</v>
      </c>
      <c r="F360" s="47" t="s">
        <v>7763</v>
      </c>
      <c r="G360" s="364">
        <v>46272</v>
      </c>
      <c r="H360" s="47" t="s">
        <v>7764</v>
      </c>
      <c r="I360" s="47" t="s">
        <v>7765</v>
      </c>
      <c r="J360" s="47" t="s">
        <v>5084</v>
      </c>
    </row>
    <row r="361" spans="2:10" ht="14.5">
      <c r="B361" s="47" t="s">
        <v>5258</v>
      </c>
      <c r="C361" s="47" t="s">
        <v>64</v>
      </c>
      <c r="D361" s="47" t="s">
        <v>8181</v>
      </c>
      <c r="E361" s="47" t="s">
        <v>5257</v>
      </c>
      <c r="F361" s="47" t="s">
        <v>7763</v>
      </c>
      <c r="G361" s="364">
        <v>46288</v>
      </c>
      <c r="H361" s="47" t="s">
        <v>7769</v>
      </c>
      <c r="I361" s="47" t="s">
        <v>7765</v>
      </c>
      <c r="J361" s="47" t="s">
        <v>5257</v>
      </c>
    </row>
    <row r="362" spans="2:10" ht="14.5">
      <c r="B362" s="47" t="s">
        <v>5254</v>
      </c>
      <c r="C362" s="47" t="s">
        <v>64</v>
      </c>
      <c r="D362" s="47" t="s">
        <v>8182</v>
      </c>
      <c r="E362" s="47" t="s">
        <v>5252</v>
      </c>
      <c r="F362" s="47" t="s">
        <v>7763</v>
      </c>
      <c r="G362" s="364">
        <v>46297</v>
      </c>
      <c r="H362" s="47" t="s">
        <v>7769</v>
      </c>
      <c r="I362" s="47" t="s">
        <v>7765</v>
      </c>
      <c r="J362" s="47" t="s">
        <v>5252</v>
      </c>
    </row>
    <row r="363" spans="2:10" ht="14.5">
      <c r="B363" s="47" t="s">
        <v>5251</v>
      </c>
      <c r="C363" s="47" t="s">
        <v>64</v>
      </c>
      <c r="D363" s="47" t="s">
        <v>8183</v>
      </c>
      <c r="E363" s="47" t="s">
        <v>5250</v>
      </c>
      <c r="F363" s="47" t="s">
        <v>7763</v>
      </c>
      <c r="G363" s="364">
        <v>46272</v>
      </c>
      <c r="H363" s="47" t="s">
        <v>7764</v>
      </c>
      <c r="I363" s="47" t="s">
        <v>7765</v>
      </c>
      <c r="J363" s="47" t="s">
        <v>5250</v>
      </c>
    </row>
    <row r="364" spans="2:10" ht="14.5">
      <c r="B364" s="47" t="s">
        <v>5236</v>
      </c>
      <c r="C364" s="47" t="s">
        <v>64</v>
      </c>
      <c r="D364" s="47" t="s">
        <v>8184</v>
      </c>
      <c r="E364" s="47" t="s">
        <v>5235</v>
      </c>
      <c r="F364" s="47" t="s">
        <v>7763</v>
      </c>
      <c r="G364" s="364">
        <v>46300</v>
      </c>
      <c r="H364" s="47" t="s">
        <v>7769</v>
      </c>
      <c r="I364" s="47" t="s">
        <v>7765</v>
      </c>
      <c r="J364" s="47" t="s">
        <v>5235</v>
      </c>
    </row>
    <row r="365" spans="2:10" ht="14.5">
      <c r="B365" s="47" t="s">
        <v>8185</v>
      </c>
      <c r="C365" s="47" t="s">
        <v>64</v>
      </c>
      <c r="D365" s="47" t="s">
        <v>8186</v>
      </c>
      <c r="E365" s="47" t="s">
        <v>5245</v>
      </c>
      <c r="F365" s="47" t="s">
        <v>7763</v>
      </c>
      <c r="G365" s="364">
        <v>46272</v>
      </c>
      <c r="H365" s="47" t="s">
        <v>7764</v>
      </c>
      <c r="I365" s="47" t="s">
        <v>7765</v>
      </c>
      <c r="J365" s="47" t="s">
        <v>5245</v>
      </c>
    </row>
    <row r="366" spans="2:10" ht="14.5">
      <c r="B366" s="47" t="s">
        <v>5191</v>
      </c>
      <c r="C366" s="47" t="s">
        <v>64</v>
      </c>
      <c r="D366" s="47" t="s">
        <v>8187</v>
      </c>
      <c r="E366" s="47" t="s">
        <v>5189</v>
      </c>
      <c r="F366" s="47" t="s">
        <v>7763</v>
      </c>
      <c r="G366" s="364">
        <v>46267</v>
      </c>
      <c r="H366" s="47" t="s">
        <v>7764</v>
      </c>
      <c r="I366" s="47" t="s">
        <v>7765</v>
      </c>
      <c r="J366" s="47" t="s">
        <v>5189</v>
      </c>
    </row>
    <row r="367" spans="2:10" ht="14.5">
      <c r="B367" s="47" t="s">
        <v>5028</v>
      </c>
      <c r="C367" s="47" t="s">
        <v>64</v>
      </c>
      <c r="D367" s="47" t="s">
        <v>8188</v>
      </c>
      <c r="E367" s="47" t="s">
        <v>5026</v>
      </c>
      <c r="F367" s="47" t="s">
        <v>7763</v>
      </c>
      <c r="G367" s="364">
        <v>46260</v>
      </c>
      <c r="H367" s="47" t="s">
        <v>7764</v>
      </c>
      <c r="I367" s="47" t="s">
        <v>7765</v>
      </c>
      <c r="J367" s="47" t="s">
        <v>5026</v>
      </c>
    </row>
    <row r="368" spans="2:10" ht="14.5">
      <c r="B368" s="47" t="s">
        <v>5034</v>
      </c>
      <c r="C368" s="47" t="s">
        <v>64</v>
      </c>
      <c r="D368" s="47" t="s">
        <v>8189</v>
      </c>
      <c r="E368" s="47" t="s">
        <v>5032</v>
      </c>
      <c r="F368" s="47" t="s">
        <v>7763</v>
      </c>
      <c r="G368" s="364">
        <v>46260</v>
      </c>
      <c r="H368" s="47" t="s">
        <v>7764</v>
      </c>
      <c r="I368" s="47" t="s">
        <v>7765</v>
      </c>
      <c r="J368" s="47" t="s">
        <v>5032</v>
      </c>
    </row>
    <row r="369" spans="2:10" ht="14.5">
      <c r="B369" s="47" t="s">
        <v>8190</v>
      </c>
      <c r="C369" s="47" t="s">
        <v>64</v>
      </c>
      <c r="D369" s="47" t="s">
        <v>8191</v>
      </c>
      <c r="E369" s="47" t="s">
        <v>5090</v>
      </c>
      <c r="F369" s="47" t="s">
        <v>7763</v>
      </c>
      <c r="G369" s="364">
        <v>46272</v>
      </c>
      <c r="H369" s="47" t="s">
        <v>7764</v>
      </c>
      <c r="I369" s="47" t="s">
        <v>7765</v>
      </c>
      <c r="J369" s="47" t="s">
        <v>5090</v>
      </c>
    </row>
    <row r="370" spans="2:10" ht="14.5">
      <c r="B370" s="47" t="s">
        <v>8192</v>
      </c>
      <c r="C370" s="47" t="s">
        <v>64</v>
      </c>
      <c r="D370" s="47" t="s">
        <v>8193</v>
      </c>
      <c r="E370" s="47" t="s">
        <v>5094</v>
      </c>
      <c r="F370" s="47" t="s">
        <v>7763</v>
      </c>
      <c r="G370" s="364">
        <v>46272</v>
      </c>
      <c r="H370" s="47" t="s">
        <v>7764</v>
      </c>
      <c r="I370" s="47" t="s">
        <v>7765</v>
      </c>
      <c r="J370" s="47" t="s">
        <v>5094</v>
      </c>
    </row>
    <row r="371" spans="2:10" ht="14.5">
      <c r="B371" s="47" t="s">
        <v>5098</v>
      </c>
      <c r="C371" s="47" t="s">
        <v>64</v>
      </c>
      <c r="D371" s="47" t="s">
        <v>8194</v>
      </c>
      <c r="E371" s="47" t="s">
        <v>5096</v>
      </c>
      <c r="F371" s="47" t="s">
        <v>7763</v>
      </c>
      <c r="G371" s="364">
        <v>46272</v>
      </c>
      <c r="H371" s="47" t="s">
        <v>7764</v>
      </c>
      <c r="I371" s="47" t="s">
        <v>7765</v>
      </c>
      <c r="J371" s="47" t="s">
        <v>5096</v>
      </c>
    </row>
    <row r="372" spans="2:10" ht="14.5">
      <c r="B372" s="47" t="s">
        <v>8195</v>
      </c>
      <c r="C372" s="47" t="s">
        <v>64</v>
      </c>
      <c r="D372" s="47" t="s">
        <v>8196</v>
      </c>
      <c r="E372" s="47" t="s">
        <v>5106</v>
      </c>
      <c r="F372" s="47" t="s">
        <v>7763</v>
      </c>
      <c r="G372" s="364">
        <v>46279</v>
      </c>
      <c r="H372" s="47" t="s">
        <v>7769</v>
      </c>
      <c r="I372" s="47" t="s">
        <v>7765</v>
      </c>
      <c r="J372" s="47" t="s">
        <v>5106</v>
      </c>
    </row>
    <row r="373" spans="2:10" ht="14.5">
      <c r="B373" s="47" t="s">
        <v>8197</v>
      </c>
      <c r="C373" s="47" t="s">
        <v>64</v>
      </c>
      <c r="D373" s="47" t="s">
        <v>8198</v>
      </c>
      <c r="E373" s="47" t="s">
        <v>5111</v>
      </c>
      <c r="F373" s="47" t="s">
        <v>7763</v>
      </c>
      <c r="G373" s="364">
        <v>46279</v>
      </c>
      <c r="H373" s="47" t="s">
        <v>7769</v>
      </c>
      <c r="I373" s="47" t="s">
        <v>7765</v>
      </c>
      <c r="J373" s="47" t="s">
        <v>5111</v>
      </c>
    </row>
    <row r="374" spans="2:10" ht="14.5">
      <c r="B374" s="47" t="s">
        <v>5152</v>
      </c>
      <c r="C374" s="47" t="s">
        <v>7761</v>
      </c>
      <c r="D374" s="47" t="s">
        <v>8199</v>
      </c>
      <c r="E374" s="47" t="s">
        <v>5150</v>
      </c>
      <c r="F374" s="47" t="s">
        <v>7763</v>
      </c>
      <c r="G374" s="364">
        <v>46249</v>
      </c>
      <c r="H374" s="47" t="s">
        <v>7764</v>
      </c>
      <c r="I374" s="47" t="s">
        <v>7765</v>
      </c>
      <c r="J374" s="47"/>
    </row>
    <row r="375" spans="2:10" ht="14.5">
      <c r="B375" s="47" t="s">
        <v>5144</v>
      </c>
      <c r="C375" s="47" t="s">
        <v>7761</v>
      </c>
      <c r="D375" s="47" t="s">
        <v>8200</v>
      </c>
      <c r="E375" s="47" t="s">
        <v>5141</v>
      </c>
      <c r="F375" s="47" t="s">
        <v>7763</v>
      </c>
      <c r="G375" s="364">
        <v>46257</v>
      </c>
      <c r="H375" s="47" t="s">
        <v>7764</v>
      </c>
      <c r="I375" s="47" t="s">
        <v>7765</v>
      </c>
      <c r="J375" s="47"/>
    </row>
    <row r="376" spans="2:10" ht="14.5">
      <c r="B376" s="47" t="s">
        <v>5158</v>
      </c>
      <c r="C376" s="47" t="s">
        <v>64</v>
      </c>
      <c r="D376" s="47" t="s">
        <v>8201</v>
      </c>
      <c r="E376" s="47" t="s">
        <v>5157</v>
      </c>
      <c r="F376" s="47" t="s">
        <v>7763</v>
      </c>
      <c r="G376" s="364">
        <v>46269</v>
      </c>
      <c r="H376" s="47" t="s">
        <v>7764</v>
      </c>
      <c r="I376" s="47" t="s">
        <v>7765</v>
      </c>
      <c r="J376" s="47" t="s">
        <v>5157</v>
      </c>
    </row>
    <row r="377" spans="2:10" ht="14.5">
      <c r="B377" s="47" t="s">
        <v>5164</v>
      </c>
      <c r="C377" s="47" t="s">
        <v>64</v>
      </c>
      <c r="D377" s="47" t="s">
        <v>8202</v>
      </c>
      <c r="E377" s="47" t="s">
        <v>5162</v>
      </c>
      <c r="F377" s="47" t="s">
        <v>7763</v>
      </c>
      <c r="G377" s="364">
        <v>46269</v>
      </c>
      <c r="H377" s="47" t="s">
        <v>7764</v>
      </c>
      <c r="I377" s="47" t="s">
        <v>7765</v>
      </c>
      <c r="J377" s="47" t="s">
        <v>5162</v>
      </c>
    </row>
    <row r="378" spans="2:10" ht="14.5">
      <c r="B378" s="47" t="s">
        <v>5169</v>
      </c>
      <c r="C378" s="47" t="s">
        <v>7761</v>
      </c>
      <c r="D378" s="47" t="s">
        <v>8203</v>
      </c>
      <c r="E378" s="47" t="s">
        <v>5167</v>
      </c>
      <c r="F378" s="47" t="s">
        <v>7763</v>
      </c>
      <c r="G378" s="364">
        <v>46238</v>
      </c>
      <c r="H378" s="47" t="s">
        <v>7764</v>
      </c>
      <c r="I378" s="47" t="s">
        <v>7765</v>
      </c>
      <c r="J378" s="47"/>
    </row>
    <row r="379" spans="2:10" ht="14.5">
      <c r="B379" s="47" t="s">
        <v>5175</v>
      </c>
      <c r="C379" s="47" t="s">
        <v>7761</v>
      </c>
      <c r="D379" s="47" t="s">
        <v>8204</v>
      </c>
      <c r="E379" s="47" t="s">
        <v>5174</v>
      </c>
      <c r="F379" s="47" t="s">
        <v>7763</v>
      </c>
      <c r="G379" s="364">
        <v>46239</v>
      </c>
      <c r="H379" s="47" t="s">
        <v>7764</v>
      </c>
      <c r="I379" s="47" t="s">
        <v>7765</v>
      </c>
      <c r="J379" s="47"/>
    </row>
    <row r="380" spans="2:10" ht="14.5">
      <c r="B380" s="47" t="s">
        <v>5180</v>
      </c>
      <c r="C380" s="47" t="s">
        <v>7761</v>
      </c>
      <c r="D380" s="47" t="s">
        <v>8205</v>
      </c>
      <c r="E380" s="47" t="s">
        <v>5179</v>
      </c>
      <c r="F380" s="47" t="s">
        <v>7763</v>
      </c>
      <c r="G380" s="364">
        <v>46249</v>
      </c>
      <c r="H380" s="47" t="s">
        <v>7764</v>
      </c>
      <c r="I380" s="47" t="s">
        <v>7765</v>
      </c>
      <c r="J380" s="47"/>
    </row>
    <row r="381" spans="2:10" ht="14.5">
      <c r="B381" s="47" t="s">
        <v>5184</v>
      </c>
      <c r="C381" s="47" t="s">
        <v>7761</v>
      </c>
      <c r="D381" s="47" t="s">
        <v>8206</v>
      </c>
      <c r="E381" s="47" t="s">
        <v>5183</v>
      </c>
      <c r="F381" s="47" t="s">
        <v>7763</v>
      </c>
      <c r="G381" s="364">
        <v>46249</v>
      </c>
      <c r="H381" s="47" t="s">
        <v>7764</v>
      </c>
      <c r="I381" s="47" t="s">
        <v>7765</v>
      </c>
      <c r="J381" s="47"/>
    </row>
    <row r="382" spans="2:10" ht="14.5">
      <c r="B382" s="47" t="s">
        <v>5186</v>
      </c>
      <c r="C382" s="47" t="s">
        <v>7761</v>
      </c>
      <c r="D382" s="47" t="s">
        <v>8207</v>
      </c>
      <c r="E382" s="47" t="s">
        <v>5185</v>
      </c>
      <c r="F382" s="47" t="s">
        <v>7763</v>
      </c>
      <c r="G382" s="364">
        <v>46238</v>
      </c>
      <c r="H382" s="47" t="s">
        <v>7764</v>
      </c>
      <c r="I382" s="47" t="s">
        <v>7765</v>
      </c>
      <c r="J382" s="47"/>
    </row>
    <row r="383" spans="2:10" ht="14.5">
      <c r="B383" s="47" t="s">
        <v>5196</v>
      </c>
      <c r="C383" s="47" t="s">
        <v>64</v>
      </c>
      <c r="D383" s="47" t="s">
        <v>8208</v>
      </c>
      <c r="E383" s="47" t="s">
        <v>5195</v>
      </c>
      <c r="F383" s="47" t="s">
        <v>7763</v>
      </c>
      <c r="G383" s="364">
        <v>46267</v>
      </c>
      <c r="H383" s="47" t="s">
        <v>7764</v>
      </c>
      <c r="I383" s="47" t="s">
        <v>7765</v>
      </c>
      <c r="J383" s="47" t="s">
        <v>5195</v>
      </c>
    </row>
    <row r="384" spans="2:10" ht="14.5">
      <c r="B384" s="47" t="s">
        <v>5228</v>
      </c>
      <c r="C384" s="47" t="s">
        <v>64</v>
      </c>
      <c r="D384" s="47" t="s">
        <v>8209</v>
      </c>
      <c r="E384" s="47" t="s">
        <v>5227</v>
      </c>
      <c r="F384" s="47" t="s">
        <v>7763</v>
      </c>
      <c r="G384" s="364">
        <v>46272</v>
      </c>
      <c r="H384" s="47" t="s">
        <v>7764</v>
      </c>
      <c r="I384" s="47" t="s">
        <v>7765</v>
      </c>
      <c r="J384" s="47" t="s">
        <v>5227</v>
      </c>
    </row>
    <row r="385" spans="2:10" ht="14.5">
      <c r="B385" s="47" t="s">
        <v>5223</v>
      </c>
      <c r="C385" s="47" t="s">
        <v>64</v>
      </c>
      <c r="D385" s="47" t="s">
        <v>8210</v>
      </c>
      <c r="E385" s="47" t="s">
        <v>5222</v>
      </c>
      <c r="F385" s="47" t="s">
        <v>7763</v>
      </c>
      <c r="G385" s="364">
        <v>46272</v>
      </c>
      <c r="H385" s="47" t="s">
        <v>7764</v>
      </c>
      <c r="I385" s="47" t="s">
        <v>7765</v>
      </c>
      <c r="J385" s="47" t="s">
        <v>5222</v>
      </c>
    </row>
    <row r="386" spans="2:10" ht="14.5">
      <c r="B386" s="47" t="s">
        <v>8211</v>
      </c>
      <c r="C386" s="47" t="s">
        <v>64</v>
      </c>
      <c r="D386" s="47" t="s">
        <v>8212</v>
      </c>
      <c r="E386" s="47" t="s">
        <v>5229</v>
      </c>
      <c r="F386" s="47" t="s">
        <v>7763</v>
      </c>
      <c r="G386" s="364">
        <v>46272</v>
      </c>
      <c r="H386" s="47" t="s">
        <v>7764</v>
      </c>
      <c r="I386" s="47" t="s">
        <v>7765</v>
      </c>
      <c r="J386" s="47" t="s">
        <v>5229</v>
      </c>
    </row>
    <row r="387" spans="2:10" ht="14.5">
      <c r="B387" s="47" t="s">
        <v>5232</v>
      </c>
      <c r="C387" s="47" t="s">
        <v>64</v>
      </c>
      <c r="D387" s="47" t="s">
        <v>8213</v>
      </c>
      <c r="E387" s="47" t="s">
        <v>5231</v>
      </c>
      <c r="F387" s="47" t="s">
        <v>7763</v>
      </c>
      <c r="G387" s="364">
        <v>46300</v>
      </c>
      <c r="H387" s="47" t="s">
        <v>7769</v>
      </c>
      <c r="I387" s="47" t="s">
        <v>7765</v>
      </c>
      <c r="J387" s="47" t="s">
        <v>5231</v>
      </c>
    </row>
    <row r="388" spans="2:10" ht="14.5">
      <c r="B388" s="47" t="s">
        <v>8214</v>
      </c>
      <c r="C388" s="47" t="s">
        <v>64</v>
      </c>
      <c r="D388" s="47" t="s">
        <v>8062</v>
      </c>
      <c r="E388" s="47"/>
      <c r="F388" s="47" t="s">
        <v>7763</v>
      </c>
      <c r="G388" s="364">
        <v>46233</v>
      </c>
      <c r="H388" s="47" t="s">
        <v>7911</v>
      </c>
      <c r="I388" s="47" t="s">
        <v>7765</v>
      </c>
      <c r="J388" s="47" t="s">
        <v>8215</v>
      </c>
    </row>
    <row r="389" spans="2:10" ht="14.5">
      <c r="B389" s="47" t="s">
        <v>4858</v>
      </c>
      <c r="C389" s="47" t="s">
        <v>7761</v>
      </c>
      <c r="D389" s="47" t="s">
        <v>8216</v>
      </c>
      <c r="E389" s="47" t="s">
        <v>4855</v>
      </c>
      <c r="F389" s="47" t="s">
        <v>7763</v>
      </c>
      <c r="G389" s="364">
        <v>46251</v>
      </c>
      <c r="H389" s="47" t="s">
        <v>7764</v>
      </c>
      <c r="I389" s="47" t="s">
        <v>7765</v>
      </c>
      <c r="J389" s="47" t="s">
        <v>4855</v>
      </c>
    </row>
    <row r="390" spans="2:10" ht="14.5">
      <c r="B390" s="47" t="s">
        <v>4862</v>
      </c>
      <c r="C390" s="47" t="s">
        <v>64</v>
      </c>
      <c r="D390" s="47" t="s">
        <v>8217</v>
      </c>
      <c r="E390" s="47" t="s">
        <v>4861</v>
      </c>
      <c r="F390" s="47" t="s">
        <v>7763</v>
      </c>
      <c r="G390" s="364">
        <v>46262</v>
      </c>
      <c r="H390" s="47" t="s">
        <v>7764</v>
      </c>
      <c r="I390" s="47" t="s">
        <v>7765</v>
      </c>
      <c r="J390" s="47" t="s">
        <v>4861</v>
      </c>
    </row>
    <row r="391" spans="2:10" ht="14.5">
      <c r="B391" s="47" t="s">
        <v>4890</v>
      </c>
      <c r="C391" s="47" t="s">
        <v>64</v>
      </c>
      <c r="D391" s="47" t="s">
        <v>8218</v>
      </c>
      <c r="E391" s="47" t="s">
        <v>4888</v>
      </c>
      <c r="F391" s="47" t="s">
        <v>7763</v>
      </c>
      <c r="G391" s="364">
        <v>46258</v>
      </c>
      <c r="H391" s="47" t="s">
        <v>7764</v>
      </c>
      <c r="I391" s="47" t="s">
        <v>7765</v>
      </c>
      <c r="J391" s="47" t="s">
        <v>4888</v>
      </c>
    </row>
    <row r="392" spans="2:10" ht="14.5">
      <c r="B392" s="47" t="s">
        <v>4895</v>
      </c>
      <c r="C392" s="47" t="s">
        <v>64</v>
      </c>
      <c r="D392" s="47" t="s">
        <v>8219</v>
      </c>
      <c r="E392" s="47" t="s">
        <v>4894</v>
      </c>
      <c r="F392" s="47" t="s">
        <v>7763</v>
      </c>
      <c r="G392" s="364">
        <v>46258</v>
      </c>
      <c r="H392" s="47" t="s">
        <v>7764</v>
      </c>
      <c r="I392" s="47" t="s">
        <v>7765</v>
      </c>
      <c r="J392" s="47" t="s">
        <v>4894</v>
      </c>
    </row>
    <row r="393" spans="2:10" ht="14.5">
      <c r="B393" s="47" t="s">
        <v>4997</v>
      </c>
      <c r="C393" s="47" t="s">
        <v>7761</v>
      </c>
      <c r="D393" s="47" t="s">
        <v>8220</v>
      </c>
      <c r="E393" s="47" t="s">
        <v>4996</v>
      </c>
      <c r="F393" s="47" t="s">
        <v>7763</v>
      </c>
      <c r="G393" s="364">
        <v>46238</v>
      </c>
      <c r="H393" s="47" t="s">
        <v>7764</v>
      </c>
      <c r="I393" s="47" t="s">
        <v>7765</v>
      </c>
      <c r="J393" s="47" t="s">
        <v>4996</v>
      </c>
    </row>
    <row r="394" spans="2:10" ht="14.5">
      <c r="B394" s="47" t="s">
        <v>8221</v>
      </c>
      <c r="C394" s="47" t="s">
        <v>64</v>
      </c>
      <c r="D394" s="47" t="s">
        <v>8146</v>
      </c>
      <c r="E394" s="47"/>
      <c r="F394" s="47" t="s">
        <v>7763</v>
      </c>
      <c r="G394" s="364">
        <v>46204</v>
      </c>
      <c r="H394" s="47" t="s">
        <v>7911</v>
      </c>
      <c r="I394" s="47" t="s">
        <v>7765</v>
      </c>
      <c r="J394" s="47" t="s">
        <v>8222</v>
      </c>
    </row>
    <row r="395" spans="2:10" ht="14.5">
      <c r="B395" s="47" t="s">
        <v>8223</v>
      </c>
      <c r="C395" s="47" t="s">
        <v>64</v>
      </c>
      <c r="D395" s="47" t="s">
        <v>8148</v>
      </c>
      <c r="E395" s="47"/>
      <c r="F395" s="47" t="s">
        <v>7763</v>
      </c>
      <c r="G395" s="364">
        <v>46204</v>
      </c>
      <c r="H395" s="47" t="s">
        <v>7911</v>
      </c>
      <c r="I395" s="47" t="s">
        <v>7765</v>
      </c>
      <c r="J395" s="47" t="s">
        <v>8224</v>
      </c>
    </row>
    <row r="396" spans="2:10" ht="14.5">
      <c r="B396" s="47" t="s">
        <v>8225</v>
      </c>
      <c r="C396" s="47" t="s">
        <v>64</v>
      </c>
      <c r="D396" s="47" t="s">
        <v>8150</v>
      </c>
      <c r="E396" s="47"/>
      <c r="F396" s="47" t="s">
        <v>7763</v>
      </c>
      <c r="G396" s="364">
        <v>46204</v>
      </c>
      <c r="H396" s="47" t="s">
        <v>7911</v>
      </c>
      <c r="I396" s="47" t="s">
        <v>7765</v>
      </c>
      <c r="J396" s="47" t="s">
        <v>8226</v>
      </c>
    </row>
    <row r="397" spans="2:10" ht="14.5">
      <c r="B397" s="47" t="s">
        <v>5038</v>
      </c>
      <c r="C397" s="47" t="s">
        <v>7761</v>
      </c>
      <c r="D397" s="47" t="s">
        <v>8227</v>
      </c>
      <c r="E397" s="47" t="s">
        <v>5035</v>
      </c>
      <c r="F397" s="47" t="s">
        <v>7763</v>
      </c>
      <c r="G397" s="364">
        <v>46232</v>
      </c>
      <c r="H397" s="47" t="s">
        <v>7764</v>
      </c>
      <c r="I397" s="47" t="s">
        <v>7765</v>
      </c>
      <c r="J397" s="47" t="s">
        <v>5035</v>
      </c>
    </row>
    <row r="398" spans="2:10" ht="14.5">
      <c r="B398" s="47" t="s">
        <v>5138</v>
      </c>
      <c r="C398" s="47" t="s">
        <v>64</v>
      </c>
      <c r="D398" s="47" t="s">
        <v>8228</v>
      </c>
      <c r="E398" s="47" t="s">
        <v>5137</v>
      </c>
      <c r="F398" s="47" t="s">
        <v>7763</v>
      </c>
      <c r="G398" s="364">
        <v>46286</v>
      </c>
      <c r="H398" s="47" t="s">
        <v>7769</v>
      </c>
      <c r="I398" s="47" t="s">
        <v>7765</v>
      </c>
      <c r="J398" s="47" t="s">
        <v>5137</v>
      </c>
    </row>
    <row r="399" spans="2:10" ht="14.5">
      <c r="B399" s="47" t="s">
        <v>5134</v>
      </c>
      <c r="C399" s="47" t="s">
        <v>64</v>
      </c>
      <c r="D399" s="47" t="s">
        <v>8229</v>
      </c>
      <c r="E399" s="47" t="s">
        <v>5132</v>
      </c>
      <c r="F399" s="47" t="s">
        <v>7763</v>
      </c>
      <c r="G399" s="364">
        <v>46267</v>
      </c>
      <c r="H399" s="47" t="s">
        <v>7764</v>
      </c>
      <c r="I399" s="47" t="s">
        <v>7765</v>
      </c>
      <c r="J399" s="47" t="s">
        <v>5132</v>
      </c>
    </row>
    <row r="400" spans="2:10" ht="14.5">
      <c r="B400" s="47" t="s">
        <v>5129</v>
      </c>
      <c r="C400" s="47" t="s">
        <v>64</v>
      </c>
      <c r="D400" s="47" t="s">
        <v>8230</v>
      </c>
      <c r="E400" s="47" t="s">
        <v>5128</v>
      </c>
      <c r="F400" s="47" t="s">
        <v>7763</v>
      </c>
      <c r="G400" s="364">
        <v>46289</v>
      </c>
      <c r="H400" s="47" t="s">
        <v>7769</v>
      </c>
      <c r="I400" s="47" t="s">
        <v>7765</v>
      </c>
      <c r="J400" s="47" t="s">
        <v>5128</v>
      </c>
    </row>
    <row r="401" spans="2:10" ht="14.5">
      <c r="B401" s="47" t="s">
        <v>5125</v>
      </c>
      <c r="C401" s="47" t="s">
        <v>64</v>
      </c>
      <c r="D401" s="47" t="s">
        <v>8231</v>
      </c>
      <c r="E401" s="47" t="s">
        <v>5124</v>
      </c>
      <c r="F401" s="47" t="s">
        <v>7763</v>
      </c>
      <c r="G401" s="364">
        <v>46290</v>
      </c>
      <c r="H401" s="47" t="s">
        <v>7769</v>
      </c>
      <c r="I401" s="47" t="s">
        <v>7765</v>
      </c>
      <c r="J401" s="47" t="s">
        <v>5124</v>
      </c>
    </row>
    <row r="402" spans="2:10" ht="14.5">
      <c r="B402" s="47" t="s">
        <v>4917</v>
      </c>
      <c r="C402" s="47" t="s">
        <v>64</v>
      </c>
      <c r="D402" s="47" t="s">
        <v>8232</v>
      </c>
      <c r="E402" s="47" t="s">
        <v>4915</v>
      </c>
      <c r="F402" s="47" t="s">
        <v>7763</v>
      </c>
      <c r="G402" s="364">
        <v>46245</v>
      </c>
      <c r="H402" s="47" t="s">
        <v>7764</v>
      </c>
      <c r="I402" s="47" t="s">
        <v>7765</v>
      </c>
      <c r="J402" s="47" t="s">
        <v>4915</v>
      </c>
    </row>
    <row r="403" spans="2:10" ht="14.5">
      <c r="B403" s="47" t="s">
        <v>5121</v>
      </c>
      <c r="C403" s="47" t="s">
        <v>64</v>
      </c>
      <c r="D403" s="47" t="s">
        <v>8233</v>
      </c>
      <c r="E403" s="47" t="s">
        <v>5119</v>
      </c>
      <c r="F403" s="47" t="s">
        <v>7763</v>
      </c>
      <c r="G403" s="364">
        <v>46259</v>
      </c>
      <c r="H403" s="47" t="s">
        <v>7764</v>
      </c>
      <c r="I403" s="47" t="s">
        <v>7765</v>
      </c>
      <c r="J403" s="47" t="s">
        <v>5119</v>
      </c>
    </row>
    <row r="404" spans="2:10" ht="14.5">
      <c r="B404" s="47" t="s">
        <v>4967</v>
      </c>
      <c r="C404" s="47" t="s">
        <v>64</v>
      </c>
      <c r="D404" s="47" t="s">
        <v>8234</v>
      </c>
      <c r="E404" s="47" t="s">
        <v>4966</v>
      </c>
      <c r="F404" s="47" t="s">
        <v>7763</v>
      </c>
      <c r="G404" s="364">
        <v>46265</v>
      </c>
      <c r="H404" s="47" t="s">
        <v>7764</v>
      </c>
      <c r="I404" s="47" t="s">
        <v>7765</v>
      </c>
      <c r="J404" s="47" t="s">
        <v>4966</v>
      </c>
    </row>
    <row r="405" spans="2:10" ht="14.5">
      <c r="B405" s="47" t="s">
        <v>4988</v>
      </c>
      <c r="C405" s="47" t="s">
        <v>64</v>
      </c>
      <c r="D405" s="47" t="s">
        <v>8235</v>
      </c>
      <c r="E405" s="47" t="s">
        <v>4987</v>
      </c>
      <c r="F405" s="47" t="s">
        <v>7763</v>
      </c>
      <c r="G405" s="364">
        <v>46273</v>
      </c>
      <c r="H405" s="47" t="s">
        <v>7769</v>
      </c>
      <c r="I405" s="47" t="s">
        <v>7765</v>
      </c>
      <c r="J405" s="47" t="s">
        <v>4987</v>
      </c>
    </row>
    <row r="406" spans="2:10" ht="14.5">
      <c r="B406" s="47" t="s">
        <v>4973</v>
      </c>
      <c r="C406" s="47" t="s">
        <v>64</v>
      </c>
      <c r="D406" s="47" t="s">
        <v>8236</v>
      </c>
      <c r="E406" s="47" t="s">
        <v>4971</v>
      </c>
      <c r="F406" s="47" t="s">
        <v>7763</v>
      </c>
      <c r="G406" s="364">
        <v>46265</v>
      </c>
      <c r="H406" s="47" t="s">
        <v>7764</v>
      </c>
      <c r="I406" s="47" t="s">
        <v>7765</v>
      </c>
      <c r="J406" s="47" t="s">
        <v>4971</v>
      </c>
    </row>
    <row r="407" spans="2:10" ht="14.5">
      <c r="B407" s="47" t="s">
        <v>4993</v>
      </c>
      <c r="C407" s="47" t="s">
        <v>64</v>
      </c>
      <c r="D407" s="47" t="s">
        <v>8237</v>
      </c>
      <c r="E407" s="47" t="s">
        <v>4992</v>
      </c>
      <c r="F407" s="47" t="s">
        <v>7763</v>
      </c>
      <c r="G407" s="364">
        <v>46283</v>
      </c>
      <c r="H407" s="47" t="s">
        <v>7769</v>
      </c>
      <c r="I407" s="47" t="s">
        <v>7765</v>
      </c>
      <c r="J407" s="47" t="s">
        <v>4992</v>
      </c>
    </row>
    <row r="408" spans="2:10" ht="14.5">
      <c r="B408" s="47" t="s">
        <v>8238</v>
      </c>
      <c r="C408" s="47" t="s">
        <v>7761</v>
      </c>
      <c r="D408" s="47" t="s">
        <v>8073</v>
      </c>
      <c r="E408" s="47" t="s">
        <v>5012</v>
      </c>
      <c r="F408" s="47" t="s">
        <v>7763</v>
      </c>
      <c r="G408" s="364">
        <v>46248</v>
      </c>
      <c r="H408" s="47" t="s">
        <v>7764</v>
      </c>
      <c r="I408" s="47" t="s">
        <v>7765</v>
      </c>
      <c r="J408" s="47" t="s">
        <v>5012</v>
      </c>
    </row>
    <row r="409" spans="2:10" ht="14.5">
      <c r="B409" s="47" t="s">
        <v>5046</v>
      </c>
      <c r="C409" s="47" t="s">
        <v>7761</v>
      </c>
      <c r="D409" s="47" t="s">
        <v>8239</v>
      </c>
      <c r="E409" s="47" t="s">
        <v>5044</v>
      </c>
      <c r="F409" s="47" t="s">
        <v>7763</v>
      </c>
      <c r="G409" s="364">
        <v>46237</v>
      </c>
      <c r="H409" s="47" t="s">
        <v>7764</v>
      </c>
      <c r="I409" s="47" t="s">
        <v>7765</v>
      </c>
      <c r="J409" s="47" t="s">
        <v>5044</v>
      </c>
    </row>
    <row r="410" spans="2:10" ht="14.5">
      <c r="B410" s="47" t="s">
        <v>5043</v>
      </c>
      <c r="C410" s="47" t="s">
        <v>7761</v>
      </c>
      <c r="D410" s="47" t="s">
        <v>8240</v>
      </c>
      <c r="E410" s="47" t="s">
        <v>5041</v>
      </c>
      <c r="F410" s="47" t="s">
        <v>7763</v>
      </c>
      <c r="G410" s="364">
        <v>46232</v>
      </c>
      <c r="H410" s="47" t="s">
        <v>7764</v>
      </c>
      <c r="I410" s="47" t="s">
        <v>7765</v>
      </c>
      <c r="J410" s="47" t="s">
        <v>5041</v>
      </c>
    </row>
    <row r="411" spans="2:10" ht="14.5">
      <c r="B411" s="47" t="s">
        <v>5054</v>
      </c>
      <c r="C411" s="47" t="s">
        <v>7761</v>
      </c>
      <c r="D411" s="47" t="s">
        <v>8241</v>
      </c>
      <c r="E411" s="47" t="s">
        <v>5050</v>
      </c>
      <c r="F411" s="47" t="s">
        <v>7763</v>
      </c>
      <c r="G411" s="364">
        <v>46232</v>
      </c>
      <c r="H411" s="47" t="s">
        <v>7764</v>
      </c>
      <c r="I411" s="47" t="s">
        <v>7765</v>
      </c>
      <c r="J411" s="47" t="s">
        <v>5050</v>
      </c>
    </row>
    <row r="412" spans="2:10" ht="14.5">
      <c r="B412" s="47" t="s">
        <v>5059</v>
      </c>
      <c r="C412" s="47" t="s">
        <v>7761</v>
      </c>
      <c r="D412" s="47" t="s">
        <v>8242</v>
      </c>
      <c r="E412" s="47" t="s">
        <v>5058</v>
      </c>
      <c r="F412" s="47" t="s">
        <v>7763</v>
      </c>
      <c r="G412" s="364">
        <v>46232</v>
      </c>
      <c r="H412" s="47" t="s">
        <v>7764</v>
      </c>
      <c r="I412" s="47" t="s">
        <v>7765</v>
      </c>
      <c r="J412" s="47" t="s">
        <v>5058</v>
      </c>
    </row>
    <row r="413" spans="2:10" ht="14.5">
      <c r="B413" s="47" t="s">
        <v>5062</v>
      </c>
      <c r="C413" s="47" t="s">
        <v>7761</v>
      </c>
      <c r="D413" s="47" t="s">
        <v>8243</v>
      </c>
      <c r="E413" s="47" t="s">
        <v>5060</v>
      </c>
      <c r="F413" s="47" t="s">
        <v>7763</v>
      </c>
      <c r="G413" s="364">
        <v>46232</v>
      </c>
      <c r="H413" s="47" t="s">
        <v>7764</v>
      </c>
      <c r="I413" s="47" t="s">
        <v>7765</v>
      </c>
      <c r="J413" s="47" t="s">
        <v>5060</v>
      </c>
    </row>
    <row r="414" spans="2:10" ht="14.5">
      <c r="B414" s="47" t="s">
        <v>5067</v>
      </c>
      <c r="C414" s="47" t="s">
        <v>7761</v>
      </c>
      <c r="D414" s="47" t="s">
        <v>8244</v>
      </c>
      <c r="E414" s="47" t="s">
        <v>5066</v>
      </c>
      <c r="F414" s="47" t="s">
        <v>7763</v>
      </c>
      <c r="G414" s="364">
        <v>46244</v>
      </c>
      <c r="H414" s="47" t="s">
        <v>7764</v>
      </c>
      <c r="I414" s="47" t="s">
        <v>7765</v>
      </c>
      <c r="J414" s="47" t="s">
        <v>5066</v>
      </c>
    </row>
    <row r="415" spans="2:10" ht="14.5">
      <c r="B415" s="47" t="s">
        <v>5072</v>
      </c>
      <c r="C415" s="47" t="s">
        <v>64</v>
      </c>
      <c r="D415" s="47" t="s">
        <v>8245</v>
      </c>
      <c r="E415" s="47" t="s">
        <v>5071</v>
      </c>
      <c r="F415" s="47" t="s">
        <v>7763</v>
      </c>
      <c r="G415" s="364">
        <v>46254</v>
      </c>
      <c r="H415" s="47" t="s">
        <v>7764</v>
      </c>
      <c r="I415" s="47" t="s">
        <v>7765</v>
      </c>
      <c r="J415" s="47" t="s">
        <v>5071</v>
      </c>
    </row>
    <row r="416" spans="2:10" ht="14.5">
      <c r="B416" s="47" t="s">
        <v>5078</v>
      </c>
      <c r="C416" s="47" t="s">
        <v>64</v>
      </c>
      <c r="D416" s="47" t="s">
        <v>8246</v>
      </c>
      <c r="E416" s="47" t="s">
        <v>5076</v>
      </c>
      <c r="F416" s="47" t="s">
        <v>7763</v>
      </c>
      <c r="G416" s="364">
        <v>46254</v>
      </c>
      <c r="H416" s="47" t="s">
        <v>7764</v>
      </c>
      <c r="I416" s="47" t="s">
        <v>7765</v>
      </c>
      <c r="J416" s="47" t="s">
        <v>5076</v>
      </c>
    </row>
    <row r="417" spans="2:10" ht="14.5">
      <c r="B417" s="47" t="s">
        <v>5080</v>
      </c>
      <c r="C417" s="47" t="s">
        <v>64</v>
      </c>
      <c r="D417" s="47" t="s">
        <v>8247</v>
      </c>
      <c r="E417" s="47" t="s">
        <v>5079</v>
      </c>
      <c r="F417" s="47" t="s">
        <v>7763</v>
      </c>
      <c r="G417" s="364">
        <v>46272</v>
      </c>
      <c r="H417" s="47" t="s">
        <v>7764</v>
      </c>
      <c r="I417" s="47" t="s">
        <v>7765</v>
      </c>
      <c r="J417" s="47" t="s">
        <v>5079</v>
      </c>
    </row>
    <row r="418" spans="2:10" ht="14.5">
      <c r="B418" s="47" t="s">
        <v>5103</v>
      </c>
      <c r="C418" s="47" t="s">
        <v>64</v>
      </c>
      <c r="D418" s="47" t="s">
        <v>8248</v>
      </c>
      <c r="E418" s="47" t="s">
        <v>5101</v>
      </c>
      <c r="F418" s="47" t="s">
        <v>7763</v>
      </c>
      <c r="G418" s="364">
        <v>46272</v>
      </c>
      <c r="H418" s="47" t="s">
        <v>7764</v>
      </c>
      <c r="I418" s="47" t="s">
        <v>7765</v>
      </c>
      <c r="J418" s="47" t="s">
        <v>5101</v>
      </c>
    </row>
    <row r="419" spans="2:10" ht="14.5">
      <c r="B419" s="47" t="s">
        <v>5115</v>
      </c>
      <c r="C419" s="47" t="s">
        <v>64</v>
      </c>
      <c r="D419" s="47" t="s">
        <v>8249</v>
      </c>
      <c r="E419" s="47" t="s">
        <v>5114</v>
      </c>
      <c r="F419" s="47" t="s">
        <v>7763</v>
      </c>
      <c r="G419" s="364">
        <v>46276</v>
      </c>
      <c r="H419" s="47" t="s">
        <v>7764</v>
      </c>
      <c r="I419" s="47" t="s">
        <v>7765</v>
      </c>
      <c r="J419" s="47" t="s">
        <v>5114</v>
      </c>
    </row>
    <row r="420" spans="2:10" ht="14.5">
      <c r="B420" s="47" t="s">
        <v>7316</v>
      </c>
      <c r="C420" s="47" t="s">
        <v>64</v>
      </c>
      <c r="D420" s="47" t="s">
        <v>8250</v>
      </c>
      <c r="E420" s="47" t="s">
        <v>8251</v>
      </c>
      <c r="F420" s="47" t="s">
        <v>7810</v>
      </c>
      <c r="G420" s="364">
        <v>46230</v>
      </c>
      <c r="H420" s="47" t="s">
        <v>7764</v>
      </c>
      <c r="I420" s="47" t="s">
        <v>7765</v>
      </c>
      <c r="J420" s="47" t="s">
        <v>8252</v>
      </c>
    </row>
    <row r="421" spans="2:10" ht="14.5">
      <c r="B421" s="47" t="s">
        <v>7326</v>
      </c>
      <c r="C421" s="47" t="s">
        <v>64</v>
      </c>
      <c r="D421" s="47" t="s">
        <v>8253</v>
      </c>
      <c r="E421" s="47" t="s">
        <v>8254</v>
      </c>
      <c r="F421" s="47" t="s">
        <v>7810</v>
      </c>
      <c r="G421" s="364">
        <v>46237</v>
      </c>
      <c r="H421" s="47" t="s">
        <v>7764</v>
      </c>
      <c r="I421" s="47" t="s">
        <v>7765</v>
      </c>
      <c r="J421" s="47" t="s">
        <v>7324</v>
      </c>
    </row>
    <row r="422" spans="2:10" ht="14.5">
      <c r="B422" s="47" t="s">
        <v>7330</v>
      </c>
      <c r="C422" s="47" t="s">
        <v>64</v>
      </c>
      <c r="D422" s="47" t="s">
        <v>8255</v>
      </c>
      <c r="E422" s="47" t="s">
        <v>8256</v>
      </c>
      <c r="F422" s="47" t="s">
        <v>7810</v>
      </c>
      <c r="G422" s="364">
        <v>46247</v>
      </c>
      <c r="H422" s="47" t="s">
        <v>7764</v>
      </c>
      <c r="I422" s="47" t="s">
        <v>7765</v>
      </c>
      <c r="J422" s="47" t="s">
        <v>7329</v>
      </c>
    </row>
    <row r="423" spans="2:10" ht="14.5">
      <c r="B423" s="47" t="s">
        <v>7334</v>
      </c>
      <c r="C423" s="47" t="s">
        <v>64</v>
      </c>
      <c r="D423" s="47" t="s">
        <v>8257</v>
      </c>
      <c r="E423" s="47" t="s">
        <v>8258</v>
      </c>
      <c r="F423" s="47" t="s">
        <v>7810</v>
      </c>
      <c r="G423" s="364">
        <v>46244</v>
      </c>
      <c r="H423" s="47" t="s">
        <v>7764</v>
      </c>
      <c r="I423" s="47" t="s">
        <v>7765</v>
      </c>
      <c r="J423" s="47" t="s">
        <v>8259</v>
      </c>
    </row>
    <row r="424" spans="2:10" ht="14.5">
      <c r="B424" s="47" t="s">
        <v>7341</v>
      </c>
      <c r="C424" s="47" t="s">
        <v>64</v>
      </c>
      <c r="D424" s="47" t="s">
        <v>8260</v>
      </c>
      <c r="E424" s="47" t="s">
        <v>8261</v>
      </c>
      <c r="F424" s="47" t="s">
        <v>7810</v>
      </c>
      <c r="G424" s="364">
        <v>46244</v>
      </c>
      <c r="H424" s="47" t="s">
        <v>7764</v>
      </c>
      <c r="I424" s="47" t="s">
        <v>7765</v>
      </c>
      <c r="J424" s="47" t="s">
        <v>8262</v>
      </c>
    </row>
    <row r="425" spans="2:10" ht="14.5">
      <c r="B425" s="47" t="s">
        <v>4941</v>
      </c>
      <c r="C425" s="47" t="s">
        <v>7761</v>
      </c>
      <c r="D425" s="47" t="s">
        <v>8263</v>
      </c>
      <c r="E425" s="47" t="s">
        <v>4940</v>
      </c>
      <c r="F425" s="47" t="s">
        <v>7763</v>
      </c>
      <c r="G425" s="364">
        <v>46225</v>
      </c>
      <c r="H425" s="47" t="s">
        <v>7764</v>
      </c>
      <c r="I425" s="47" t="s">
        <v>7765</v>
      </c>
      <c r="J425" s="47" t="s">
        <v>4940</v>
      </c>
    </row>
    <row r="426" spans="2:10" ht="14.5">
      <c r="B426" s="47" t="s">
        <v>4945</v>
      </c>
      <c r="C426" s="47" t="s">
        <v>7761</v>
      </c>
      <c r="D426" s="47" t="s">
        <v>8264</v>
      </c>
      <c r="E426" s="47" t="s">
        <v>4944</v>
      </c>
      <c r="F426" s="47" t="s">
        <v>7763</v>
      </c>
      <c r="G426" s="364">
        <v>46225</v>
      </c>
      <c r="H426" s="47" t="s">
        <v>7764</v>
      </c>
      <c r="I426" s="47" t="s">
        <v>7765</v>
      </c>
      <c r="J426" s="47" t="s">
        <v>4944</v>
      </c>
    </row>
    <row r="427" spans="2:10" ht="14.5">
      <c r="B427" s="47" t="s">
        <v>4949</v>
      </c>
      <c r="C427" s="47" t="s">
        <v>7761</v>
      </c>
      <c r="D427" s="47" t="s">
        <v>8265</v>
      </c>
      <c r="E427" s="47" t="s">
        <v>4948</v>
      </c>
      <c r="F427" s="47" t="s">
        <v>7763</v>
      </c>
      <c r="G427" s="364">
        <v>46225</v>
      </c>
      <c r="H427" s="47" t="s">
        <v>7764</v>
      </c>
      <c r="I427" s="47" t="s">
        <v>7765</v>
      </c>
      <c r="J427" s="47" t="s">
        <v>4948</v>
      </c>
    </row>
    <row r="428" spans="2:10" ht="14.5">
      <c r="B428" s="47" t="s">
        <v>4986</v>
      </c>
      <c r="C428" s="47" t="s">
        <v>64</v>
      </c>
      <c r="D428" s="47" t="s">
        <v>8266</v>
      </c>
      <c r="E428" s="47" t="s">
        <v>4984</v>
      </c>
      <c r="F428" s="47" t="s">
        <v>7763</v>
      </c>
      <c r="G428" s="364">
        <v>46268</v>
      </c>
      <c r="H428" s="47" t="s">
        <v>7764</v>
      </c>
      <c r="I428" s="47" t="s">
        <v>7765</v>
      </c>
      <c r="J428" s="47" t="s">
        <v>4984</v>
      </c>
    </row>
    <row r="429" spans="2:10" ht="14.5">
      <c r="B429" s="47" t="s">
        <v>8267</v>
      </c>
      <c r="C429" s="47" t="s">
        <v>7761</v>
      </c>
      <c r="D429" s="47" t="s">
        <v>8071</v>
      </c>
      <c r="E429" s="47" t="s">
        <v>5017</v>
      </c>
      <c r="F429" s="47" t="s">
        <v>7763</v>
      </c>
      <c r="G429" s="364">
        <v>46255</v>
      </c>
      <c r="H429" s="47" t="s">
        <v>7764</v>
      </c>
      <c r="I429" s="47" t="s">
        <v>7765</v>
      </c>
      <c r="J429" s="47" t="s">
        <v>5017</v>
      </c>
    </row>
    <row r="430" spans="2:10" ht="14.5">
      <c r="B430" s="47" t="s">
        <v>5009</v>
      </c>
      <c r="C430" s="47" t="s">
        <v>64</v>
      </c>
      <c r="D430" s="47" t="s">
        <v>8268</v>
      </c>
      <c r="E430" s="47" t="s">
        <v>5008</v>
      </c>
      <c r="F430" s="47" t="s">
        <v>7763</v>
      </c>
      <c r="G430" s="364">
        <v>46253</v>
      </c>
      <c r="H430" s="47" t="s">
        <v>7764</v>
      </c>
      <c r="I430" s="47" t="s">
        <v>7765</v>
      </c>
      <c r="J430" s="47" t="s">
        <v>5008</v>
      </c>
    </row>
    <row r="431" spans="2:10" ht="14.5">
      <c r="B431" s="47" t="s">
        <v>5005</v>
      </c>
      <c r="C431" s="47" t="s">
        <v>7761</v>
      </c>
      <c r="D431" s="47" t="s">
        <v>8269</v>
      </c>
      <c r="E431" s="47" t="s">
        <v>5004</v>
      </c>
      <c r="F431" s="47" t="s">
        <v>7763</v>
      </c>
      <c r="G431" s="364">
        <v>46232</v>
      </c>
      <c r="H431" s="47" t="s">
        <v>7764</v>
      </c>
      <c r="I431" s="47" t="s">
        <v>7765</v>
      </c>
      <c r="J431" s="47" t="s">
        <v>5004</v>
      </c>
    </row>
    <row r="432" spans="2:10" ht="14.5">
      <c r="B432" s="47" t="s">
        <v>5001</v>
      </c>
      <c r="C432" s="47" t="s">
        <v>64</v>
      </c>
      <c r="D432" s="47" t="s">
        <v>8270</v>
      </c>
      <c r="E432" s="47" t="s">
        <v>5000</v>
      </c>
      <c r="F432" s="47" t="s">
        <v>7763</v>
      </c>
      <c r="G432" s="364">
        <v>46258</v>
      </c>
      <c r="H432" s="47" t="s">
        <v>7764</v>
      </c>
      <c r="I432" s="47" t="s">
        <v>7765</v>
      </c>
      <c r="J432" s="47" t="s">
        <v>5000</v>
      </c>
    </row>
    <row r="433" spans="2:10" ht="14.5">
      <c r="B433" s="47" t="s">
        <v>4741</v>
      </c>
      <c r="C433" s="47" t="s">
        <v>64</v>
      </c>
      <c r="D433" s="47" t="s">
        <v>8271</v>
      </c>
      <c r="E433" s="47" t="s">
        <v>4740</v>
      </c>
      <c r="F433" s="47" t="s">
        <v>7763</v>
      </c>
      <c r="G433" s="364">
        <v>46267</v>
      </c>
      <c r="H433" s="47" t="s">
        <v>7764</v>
      </c>
      <c r="I433" s="47" t="s">
        <v>7765</v>
      </c>
      <c r="J433" s="47" t="s">
        <v>4740</v>
      </c>
    </row>
    <row r="434" spans="2:10" ht="14.5">
      <c r="B434" s="47" t="s">
        <v>4922</v>
      </c>
      <c r="C434" s="47" t="s">
        <v>64</v>
      </c>
      <c r="D434" s="47" t="s">
        <v>8272</v>
      </c>
      <c r="E434" s="47" t="s">
        <v>4921</v>
      </c>
      <c r="F434" s="47" t="s">
        <v>7763</v>
      </c>
      <c r="G434" s="364">
        <v>46245</v>
      </c>
      <c r="H434" s="47" t="s">
        <v>7764</v>
      </c>
      <c r="I434" s="47" t="s">
        <v>7765</v>
      </c>
      <c r="J434" s="47" t="s">
        <v>4921</v>
      </c>
    </row>
    <row r="435" spans="2:10" ht="14.5">
      <c r="B435" s="47" t="s">
        <v>4931</v>
      </c>
      <c r="C435" s="47" t="s">
        <v>7761</v>
      </c>
      <c r="D435" s="47" t="s">
        <v>8273</v>
      </c>
      <c r="E435" s="47" t="s">
        <v>4930</v>
      </c>
      <c r="F435" s="47" t="s">
        <v>7763</v>
      </c>
      <c r="G435" s="364">
        <v>46237</v>
      </c>
      <c r="H435" s="47" t="s">
        <v>7764</v>
      </c>
      <c r="I435" s="47" t="s">
        <v>7765</v>
      </c>
      <c r="J435" s="47" t="s">
        <v>4930</v>
      </c>
    </row>
    <row r="436" spans="2:10" ht="14.5">
      <c r="B436" s="47" t="s">
        <v>4926</v>
      </c>
      <c r="C436" s="47" t="s">
        <v>7761</v>
      </c>
      <c r="D436" s="47" t="s">
        <v>8274</v>
      </c>
      <c r="E436" s="47" t="s">
        <v>4925</v>
      </c>
      <c r="F436" s="47" t="s">
        <v>7763</v>
      </c>
      <c r="G436" s="364">
        <v>46226</v>
      </c>
      <c r="H436" s="47" t="s">
        <v>7764</v>
      </c>
      <c r="I436" s="47" t="s">
        <v>7765</v>
      </c>
      <c r="J436" s="47" t="s">
        <v>4925</v>
      </c>
    </row>
    <row r="437" spans="2:10" ht="14.5">
      <c r="B437" s="47" t="s">
        <v>4936</v>
      </c>
      <c r="C437" s="47" t="s">
        <v>7761</v>
      </c>
      <c r="D437" s="47" t="s">
        <v>8275</v>
      </c>
      <c r="E437" s="47" t="s">
        <v>4935</v>
      </c>
      <c r="F437" s="47" t="s">
        <v>7763</v>
      </c>
      <c r="G437" s="364">
        <v>46225</v>
      </c>
      <c r="H437" s="47" t="s">
        <v>7764</v>
      </c>
      <c r="I437" s="47" t="s">
        <v>7765</v>
      </c>
      <c r="J437" s="47" t="s">
        <v>4935</v>
      </c>
    </row>
    <row r="438" spans="2:10" ht="14.5">
      <c r="B438" s="47" t="s">
        <v>4951</v>
      </c>
      <c r="C438" s="47" t="s">
        <v>64</v>
      </c>
      <c r="D438" s="47" t="s">
        <v>8276</v>
      </c>
      <c r="E438" s="47" t="s">
        <v>4950</v>
      </c>
      <c r="F438" s="47" t="s">
        <v>7763</v>
      </c>
      <c r="G438" s="364">
        <v>46246</v>
      </c>
      <c r="H438" s="47" t="s">
        <v>7764</v>
      </c>
      <c r="I438" s="47" t="s">
        <v>7765</v>
      </c>
      <c r="J438" s="47" t="s">
        <v>4950</v>
      </c>
    </row>
    <row r="439" spans="2:10" ht="14.5">
      <c r="B439" s="47" t="s">
        <v>8277</v>
      </c>
      <c r="C439" s="47" t="s">
        <v>64</v>
      </c>
      <c r="D439" s="47" t="s">
        <v>8064</v>
      </c>
      <c r="E439" s="47" t="s">
        <v>4955</v>
      </c>
      <c r="F439" s="47" t="s">
        <v>7763</v>
      </c>
      <c r="G439" s="364">
        <v>46246</v>
      </c>
      <c r="H439" s="47" t="s">
        <v>7911</v>
      </c>
      <c r="I439" s="47" t="s">
        <v>7765</v>
      </c>
      <c r="J439" s="47" t="s">
        <v>4955</v>
      </c>
    </row>
    <row r="440" spans="2:10" ht="14.5">
      <c r="B440" s="47" t="s">
        <v>8278</v>
      </c>
      <c r="C440" s="47" t="s">
        <v>64</v>
      </c>
      <c r="D440" s="47" t="s">
        <v>8279</v>
      </c>
      <c r="E440" s="47" t="s">
        <v>4980</v>
      </c>
      <c r="F440" s="47" t="s">
        <v>7763</v>
      </c>
      <c r="G440" s="364">
        <v>46268</v>
      </c>
      <c r="H440" s="47" t="s">
        <v>7764</v>
      </c>
      <c r="I440" s="47" t="s">
        <v>7765</v>
      </c>
      <c r="J440" s="47" t="s">
        <v>4980</v>
      </c>
    </row>
    <row r="441" spans="2:10" ht="14.5">
      <c r="B441" s="47" t="s">
        <v>4976</v>
      </c>
      <c r="C441" s="47" t="s">
        <v>64</v>
      </c>
      <c r="D441" s="47" t="s">
        <v>8280</v>
      </c>
      <c r="E441" s="47" t="s">
        <v>4974</v>
      </c>
      <c r="F441" s="47" t="s">
        <v>7763</v>
      </c>
      <c r="G441" s="364">
        <v>46268</v>
      </c>
      <c r="H441" s="47" t="s">
        <v>7764</v>
      </c>
      <c r="I441" s="47" t="s">
        <v>7765</v>
      </c>
      <c r="J441" s="47" t="s">
        <v>4974</v>
      </c>
    </row>
    <row r="442" spans="2:10" ht="14.5">
      <c r="B442" s="47" t="s">
        <v>4818</v>
      </c>
      <c r="C442" s="47" t="s">
        <v>64</v>
      </c>
      <c r="D442" s="47" t="s">
        <v>8281</v>
      </c>
      <c r="E442" s="47" t="s">
        <v>4817</v>
      </c>
      <c r="F442" s="47" t="s">
        <v>7763</v>
      </c>
      <c r="G442" s="364">
        <v>46268</v>
      </c>
      <c r="H442" s="47" t="s">
        <v>7764</v>
      </c>
      <c r="I442" s="47" t="s">
        <v>7765</v>
      </c>
      <c r="J442" s="47" t="s">
        <v>4817</v>
      </c>
    </row>
    <row r="443" spans="2:10" ht="14.5">
      <c r="B443" s="47" t="s">
        <v>4851</v>
      </c>
      <c r="C443" s="47" t="s">
        <v>7761</v>
      </c>
      <c r="D443" s="47" t="s">
        <v>8282</v>
      </c>
      <c r="E443" s="47" t="s">
        <v>4849</v>
      </c>
      <c r="F443" s="47" t="s">
        <v>7763</v>
      </c>
      <c r="G443" s="364">
        <v>46238</v>
      </c>
      <c r="H443" s="47" t="s">
        <v>7764</v>
      </c>
      <c r="I443" s="47" t="s">
        <v>7765</v>
      </c>
      <c r="J443" s="47"/>
    </row>
    <row r="444" spans="2:10" ht="14.5">
      <c r="B444" s="47" t="s">
        <v>4845</v>
      </c>
      <c r="C444" s="47" t="s">
        <v>7761</v>
      </c>
      <c r="D444" s="47" t="s">
        <v>8283</v>
      </c>
      <c r="E444" s="47" t="s">
        <v>4843</v>
      </c>
      <c r="F444" s="47" t="s">
        <v>7763</v>
      </c>
      <c r="G444" s="364">
        <v>46240</v>
      </c>
      <c r="H444" s="47" t="s">
        <v>7764</v>
      </c>
      <c r="I444" s="47" t="s">
        <v>7765</v>
      </c>
      <c r="J444" s="47" t="s">
        <v>4843</v>
      </c>
    </row>
    <row r="445" spans="2:10" ht="14.5">
      <c r="B445" s="47" t="s">
        <v>4912</v>
      </c>
      <c r="C445" s="47" t="s">
        <v>7761</v>
      </c>
      <c r="D445" s="47" t="s">
        <v>8284</v>
      </c>
      <c r="E445" s="47" t="s">
        <v>4911</v>
      </c>
      <c r="F445" s="47" t="s">
        <v>7763</v>
      </c>
      <c r="G445" s="364">
        <v>46240</v>
      </c>
      <c r="H445" s="47" t="s">
        <v>7764</v>
      </c>
      <c r="I445" s="47" t="s">
        <v>7765</v>
      </c>
      <c r="J445" s="47" t="s">
        <v>4911</v>
      </c>
    </row>
    <row r="446" spans="2:10" ht="14.5">
      <c r="B446" s="47" t="s">
        <v>4878</v>
      </c>
      <c r="C446" s="47" t="s">
        <v>7761</v>
      </c>
      <c r="D446" s="47" t="s">
        <v>8285</v>
      </c>
      <c r="E446" s="47" t="s">
        <v>4876</v>
      </c>
      <c r="F446" s="47" t="s">
        <v>7763</v>
      </c>
      <c r="G446" s="364">
        <v>46235</v>
      </c>
      <c r="H446" s="47" t="s">
        <v>7764</v>
      </c>
      <c r="I446" s="47" t="s">
        <v>7765</v>
      </c>
      <c r="J446" s="47" t="s">
        <v>4876</v>
      </c>
    </row>
    <row r="447" spans="2:10" ht="14.5">
      <c r="B447" s="47" t="s">
        <v>8286</v>
      </c>
      <c r="C447" s="47" t="s">
        <v>7761</v>
      </c>
      <c r="D447" s="47" t="s">
        <v>8062</v>
      </c>
      <c r="E447" s="47" t="s">
        <v>4839</v>
      </c>
      <c r="F447" s="47" t="s">
        <v>7763</v>
      </c>
      <c r="G447" s="364">
        <v>46218</v>
      </c>
      <c r="H447" s="47" t="s">
        <v>7911</v>
      </c>
      <c r="I447" s="47" t="s">
        <v>7765</v>
      </c>
      <c r="J447" s="47"/>
    </row>
    <row r="448" spans="2:10" ht="14.5">
      <c r="B448" s="47" t="s">
        <v>4838</v>
      </c>
      <c r="C448" s="47" t="s">
        <v>64</v>
      </c>
      <c r="D448" s="47" t="s">
        <v>8287</v>
      </c>
      <c r="E448" s="47" t="s">
        <v>4837</v>
      </c>
      <c r="F448" s="47" t="s">
        <v>7763</v>
      </c>
      <c r="G448" s="364">
        <v>46265</v>
      </c>
      <c r="H448" s="47" t="s">
        <v>7764</v>
      </c>
      <c r="I448" s="47" t="s">
        <v>7765</v>
      </c>
      <c r="J448" s="47" t="s">
        <v>4837</v>
      </c>
    </row>
    <row r="449" spans="2:10" ht="14.5">
      <c r="B449" s="47" t="s">
        <v>4834</v>
      </c>
      <c r="C449" s="47" t="s">
        <v>64</v>
      </c>
      <c r="D449" s="47" t="s">
        <v>8288</v>
      </c>
      <c r="E449" s="47" t="s">
        <v>4833</v>
      </c>
      <c r="F449" s="47" t="s">
        <v>7763</v>
      </c>
      <c r="G449" s="364">
        <v>46265</v>
      </c>
      <c r="H449" s="47" t="s">
        <v>7764</v>
      </c>
      <c r="I449" s="47" t="s">
        <v>7765</v>
      </c>
      <c r="J449" s="47" t="s">
        <v>4833</v>
      </c>
    </row>
    <row r="450" spans="2:10" ht="14.5">
      <c r="B450" s="47" t="s">
        <v>4700</v>
      </c>
      <c r="C450" s="47" t="s">
        <v>64</v>
      </c>
      <c r="D450" s="47" t="s">
        <v>8289</v>
      </c>
      <c r="E450" s="47" t="s">
        <v>4699</v>
      </c>
      <c r="F450" s="47" t="s">
        <v>7763</v>
      </c>
      <c r="G450" s="364">
        <v>46232</v>
      </c>
      <c r="H450" s="47" t="s">
        <v>7764</v>
      </c>
      <c r="I450" s="47" t="s">
        <v>7765</v>
      </c>
      <c r="J450" s="47" t="s">
        <v>4699</v>
      </c>
    </row>
    <row r="451" spans="2:10" ht="14.5">
      <c r="B451" s="47" t="s">
        <v>4702</v>
      </c>
      <c r="C451" s="47" t="s">
        <v>7761</v>
      </c>
      <c r="D451" s="47" t="s">
        <v>8290</v>
      </c>
      <c r="E451" s="47" t="s">
        <v>4701</v>
      </c>
      <c r="F451" s="47" t="s">
        <v>7763</v>
      </c>
      <c r="G451" s="364">
        <v>46214</v>
      </c>
      <c r="H451" s="47" t="s">
        <v>7764</v>
      </c>
      <c r="I451" s="47" t="s">
        <v>7765</v>
      </c>
      <c r="J451" s="47" t="s">
        <v>4701</v>
      </c>
    </row>
    <row r="452" spans="2:10" ht="14.5">
      <c r="B452" s="47" t="s">
        <v>4712</v>
      </c>
      <c r="C452" s="47" t="s">
        <v>64</v>
      </c>
      <c r="D452" s="47" t="s">
        <v>8291</v>
      </c>
      <c r="E452" s="47" t="s">
        <v>4711</v>
      </c>
      <c r="F452" s="47" t="s">
        <v>7763</v>
      </c>
      <c r="G452" s="364">
        <v>46241</v>
      </c>
      <c r="H452" s="47" t="s">
        <v>7764</v>
      </c>
      <c r="I452" s="47" t="s">
        <v>7765</v>
      </c>
      <c r="J452" s="47" t="s">
        <v>4711</v>
      </c>
    </row>
    <row r="453" spans="2:10" ht="14.5">
      <c r="B453" s="47" t="s">
        <v>4717</v>
      </c>
      <c r="C453" s="47" t="s">
        <v>64</v>
      </c>
      <c r="D453" s="47" t="s">
        <v>8292</v>
      </c>
      <c r="E453" s="47" t="s">
        <v>4716</v>
      </c>
      <c r="F453" s="47" t="s">
        <v>7763</v>
      </c>
      <c r="G453" s="364">
        <v>46241</v>
      </c>
      <c r="H453" s="47" t="s">
        <v>7764</v>
      </c>
      <c r="I453" s="47" t="s">
        <v>7765</v>
      </c>
      <c r="J453" s="47" t="s">
        <v>4716</v>
      </c>
    </row>
    <row r="454" spans="2:10" ht="14.5">
      <c r="B454" s="47" t="s">
        <v>4768</v>
      </c>
      <c r="C454" s="47" t="s">
        <v>7761</v>
      </c>
      <c r="D454" s="47" t="s">
        <v>8293</v>
      </c>
      <c r="E454" s="47" t="s">
        <v>4765</v>
      </c>
      <c r="F454" s="47" t="s">
        <v>7763</v>
      </c>
      <c r="G454" s="364">
        <v>46237</v>
      </c>
      <c r="H454" s="47" t="s">
        <v>7764</v>
      </c>
      <c r="I454" s="47" t="s">
        <v>7765</v>
      </c>
      <c r="J454" s="47" t="s">
        <v>4765</v>
      </c>
    </row>
    <row r="455" spans="2:10" ht="14.5">
      <c r="B455" s="47" t="s">
        <v>4719</v>
      </c>
      <c r="C455" s="47" t="s">
        <v>64</v>
      </c>
      <c r="D455" s="47" t="s">
        <v>8294</v>
      </c>
      <c r="E455" s="47" t="s">
        <v>4718</v>
      </c>
      <c r="F455" s="47" t="s">
        <v>7763</v>
      </c>
      <c r="G455" s="364">
        <v>46248</v>
      </c>
      <c r="H455" s="47" t="s">
        <v>7764</v>
      </c>
      <c r="I455" s="47" t="s">
        <v>7765</v>
      </c>
      <c r="J455" s="47" t="s">
        <v>4718</v>
      </c>
    </row>
    <row r="456" spans="2:10" ht="14.5">
      <c r="B456" s="47" t="s">
        <v>4730</v>
      </c>
      <c r="C456" s="47" t="s">
        <v>64</v>
      </c>
      <c r="D456" s="47" t="s">
        <v>8295</v>
      </c>
      <c r="E456" s="47" t="s">
        <v>4728</v>
      </c>
      <c r="F456" s="47" t="s">
        <v>7763</v>
      </c>
      <c r="G456" s="364">
        <v>46246</v>
      </c>
      <c r="H456" s="47" t="s">
        <v>7764</v>
      </c>
      <c r="I456" s="47" t="s">
        <v>7765</v>
      </c>
      <c r="J456" s="47" t="s">
        <v>4728</v>
      </c>
    </row>
    <row r="457" spans="2:10" ht="14.5">
      <c r="B457" s="47" t="s">
        <v>4782</v>
      </c>
      <c r="C457" s="47" t="s">
        <v>64</v>
      </c>
      <c r="D457" s="47" t="s">
        <v>8296</v>
      </c>
      <c r="E457" s="47" t="s">
        <v>4780</v>
      </c>
      <c r="F457" s="47" t="s">
        <v>7763</v>
      </c>
      <c r="G457" s="364">
        <v>46238</v>
      </c>
      <c r="H457" s="47" t="s">
        <v>7764</v>
      </c>
      <c r="I457" s="47" t="s">
        <v>7765</v>
      </c>
      <c r="J457" s="47" t="s">
        <v>4780</v>
      </c>
    </row>
    <row r="458" spans="2:10" ht="14.5">
      <c r="B458" s="47" t="s">
        <v>4795</v>
      </c>
      <c r="C458" s="47" t="s">
        <v>7761</v>
      </c>
      <c r="D458" s="47" t="s">
        <v>8297</v>
      </c>
      <c r="E458" s="47" t="s">
        <v>4794</v>
      </c>
      <c r="F458" s="47" t="s">
        <v>7763</v>
      </c>
      <c r="G458" s="364">
        <v>46233</v>
      </c>
      <c r="H458" s="47" t="s">
        <v>7764</v>
      </c>
      <c r="I458" s="47" t="s">
        <v>7765</v>
      </c>
      <c r="J458" s="47" t="s">
        <v>4794</v>
      </c>
    </row>
    <row r="459" spans="2:10" ht="14.5">
      <c r="B459" s="47" t="s">
        <v>4787</v>
      </c>
      <c r="C459" s="47" t="s">
        <v>7761</v>
      </c>
      <c r="D459" s="47" t="s">
        <v>8298</v>
      </c>
      <c r="E459" s="47" t="s">
        <v>4786</v>
      </c>
      <c r="F459" s="47" t="s">
        <v>7763</v>
      </c>
      <c r="G459" s="364">
        <v>46217</v>
      </c>
      <c r="H459" s="47" t="s">
        <v>7764</v>
      </c>
      <c r="I459" s="47" t="s">
        <v>7765</v>
      </c>
      <c r="J459" s="47" t="s">
        <v>4786</v>
      </c>
    </row>
    <row r="460" spans="2:10" ht="14.5">
      <c r="B460" s="47" t="s">
        <v>4791</v>
      </c>
      <c r="C460" s="47" t="s">
        <v>7761</v>
      </c>
      <c r="D460" s="47" t="s">
        <v>8299</v>
      </c>
      <c r="E460" s="47" t="s">
        <v>4790</v>
      </c>
      <c r="F460" s="47" t="s">
        <v>7763</v>
      </c>
      <c r="G460" s="364">
        <v>46217</v>
      </c>
      <c r="H460" s="47" t="s">
        <v>7764</v>
      </c>
      <c r="I460" s="47" t="s">
        <v>7765</v>
      </c>
      <c r="J460" s="47" t="s">
        <v>4790</v>
      </c>
    </row>
    <row r="461" spans="2:10" ht="14.5">
      <c r="B461" s="47" t="s">
        <v>4885</v>
      </c>
      <c r="C461" s="47" t="s">
        <v>7761</v>
      </c>
      <c r="D461" s="47" t="s">
        <v>8300</v>
      </c>
      <c r="E461" s="47" t="s">
        <v>4882</v>
      </c>
      <c r="F461" s="47" t="s">
        <v>7763</v>
      </c>
      <c r="G461" s="364">
        <v>46226</v>
      </c>
      <c r="H461" s="47" t="s">
        <v>7764</v>
      </c>
      <c r="I461" s="47" t="s">
        <v>7765</v>
      </c>
      <c r="J461" s="47" t="s">
        <v>4882</v>
      </c>
    </row>
    <row r="462" spans="2:10" ht="14.5">
      <c r="B462" s="47" t="s">
        <v>4907</v>
      </c>
      <c r="C462" s="47" t="s">
        <v>7761</v>
      </c>
      <c r="D462" s="47" t="s">
        <v>8301</v>
      </c>
      <c r="E462" s="47" t="s">
        <v>4905</v>
      </c>
      <c r="F462" s="47" t="s">
        <v>7763</v>
      </c>
      <c r="G462" s="364">
        <v>46239</v>
      </c>
      <c r="H462" s="47" t="s">
        <v>7764</v>
      </c>
      <c r="I462" s="47" t="s">
        <v>7765</v>
      </c>
      <c r="J462" s="47" t="s">
        <v>4905</v>
      </c>
    </row>
    <row r="463" spans="2:10" ht="14.5">
      <c r="B463" s="47" t="s">
        <v>4902</v>
      </c>
      <c r="C463" s="47" t="s">
        <v>64</v>
      </c>
      <c r="D463" s="47" t="s">
        <v>8302</v>
      </c>
      <c r="E463" s="47" t="s">
        <v>4901</v>
      </c>
      <c r="F463" s="47" t="s">
        <v>7763</v>
      </c>
      <c r="G463" s="364">
        <v>46267</v>
      </c>
      <c r="H463" s="47" t="s">
        <v>7764</v>
      </c>
      <c r="I463" s="47" t="s">
        <v>7765</v>
      </c>
      <c r="J463" s="47" t="s">
        <v>4901</v>
      </c>
    </row>
    <row r="464" spans="2:10" ht="14.5">
      <c r="B464" s="47" t="s">
        <v>4898</v>
      </c>
      <c r="C464" s="47" t="s">
        <v>64</v>
      </c>
      <c r="D464" s="47" t="s">
        <v>8303</v>
      </c>
      <c r="E464" s="47" t="s">
        <v>4896</v>
      </c>
      <c r="F464" s="47" t="s">
        <v>7763</v>
      </c>
      <c r="G464" s="364">
        <v>46272</v>
      </c>
      <c r="H464" s="47" t="s">
        <v>7764</v>
      </c>
      <c r="I464" s="47" t="s">
        <v>7765</v>
      </c>
      <c r="J464" s="47" t="s">
        <v>4896</v>
      </c>
    </row>
    <row r="465" spans="2:10" ht="14.5">
      <c r="B465" s="47" t="s">
        <v>8304</v>
      </c>
      <c r="C465" s="47" t="s">
        <v>7761</v>
      </c>
      <c r="D465" s="47" t="s">
        <v>8075</v>
      </c>
      <c r="E465" s="47" t="s">
        <v>4822</v>
      </c>
      <c r="F465" s="47" t="s">
        <v>7763</v>
      </c>
      <c r="G465" s="364">
        <v>46240</v>
      </c>
      <c r="H465" s="47" t="s">
        <v>7911</v>
      </c>
      <c r="I465" s="47" t="s">
        <v>7765</v>
      </c>
      <c r="J465" s="47"/>
    </row>
    <row r="466" spans="2:10" ht="14.5">
      <c r="B466" s="47" t="s">
        <v>4830</v>
      </c>
      <c r="C466" s="47" t="s">
        <v>64</v>
      </c>
      <c r="D466" s="47" t="s">
        <v>8305</v>
      </c>
      <c r="E466" s="47" t="s">
        <v>4828</v>
      </c>
      <c r="F466" s="47" t="s">
        <v>7763</v>
      </c>
      <c r="G466" s="364">
        <v>46265</v>
      </c>
      <c r="H466" s="47" t="s">
        <v>7764</v>
      </c>
      <c r="I466" s="47" t="s">
        <v>7765</v>
      </c>
      <c r="J466" s="47" t="s">
        <v>4828</v>
      </c>
    </row>
    <row r="467" spans="2:10" ht="14.5">
      <c r="B467" s="47" t="s">
        <v>4816</v>
      </c>
      <c r="C467" s="47" t="s">
        <v>64</v>
      </c>
      <c r="D467" s="47" t="s">
        <v>8306</v>
      </c>
      <c r="E467" s="47" t="s">
        <v>4814</v>
      </c>
      <c r="F467" s="47" t="s">
        <v>7763</v>
      </c>
      <c r="G467" s="364">
        <v>46253</v>
      </c>
      <c r="H467" s="47" t="s">
        <v>7764</v>
      </c>
      <c r="I467" s="47" t="s">
        <v>7765</v>
      </c>
      <c r="J467" s="47" t="s">
        <v>4814</v>
      </c>
    </row>
    <row r="468" spans="2:10" ht="14.5">
      <c r="B468" s="47" t="s">
        <v>4801</v>
      </c>
      <c r="C468" s="47" t="s">
        <v>64</v>
      </c>
      <c r="D468" s="47" t="s">
        <v>8307</v>
      </c>
      <c r="E468" s="47" t="s">
        <v>4799</v>
      </c>
      <c r="F468" s="47" t="s">
        <v>7763</v>
      </c>
      <c r="G468" s="364">
        <v>46259</v>
      </c>
      <c r="H468" s="47" t="s">
        <v>7764</v>
      </c>
      <c r="I468" s="47" t="s">
        <v>7765</v>
      </c>
      <c r="J468" s="47" t="s">
        <v>4799</v>
      </c>
    </row>
    <row r="469" spans="2:10" ht="14.5">
      <c r="B469" s="47" t="s">
        <v>4811</v>
      </c>
      <c r="C469" s="47" t="s">
        <v>64</v>
      </c>
      <c r="D469" s="47" t="s">
        <v>8308</v>
      </c>
      <c r="E469" s="47" t="s">
        <v>4810</v>
      </c>
      <c r="F469" s="47" t="s">
        <v>7763</v>
      </c>
      <c r="G469" s="364">
        <v>46253</v>
      </c>
      <c r="H469" s="47" t="s">
        <v>7764</v>
      </c>
      <c r="I469" s="47" t="s">
        <v>7765</v>
      </c>
      <c r="J469" s="47" t="s">
        <v>4810</v>
      </c>
    </row>
    <row r="470" spans="2:10" ht="14.5">
      <c r="B470" s="47" t="s">
        <v>4806</v>
      </c>
      <c r="C470" s="47" t="s">
        <v>64</v>
      </c>
      <c r="D470" s="47" t="s">
        <v>8309</v>
      </c>
      <c r="E470" s="47" t="s">
        <v>4805</v>
      </c>
      <c r="F470" s="47" t="s">
        <v>7763</v>
      </c>
      <c r="G470" s="364">
        <v>46246</v>
      </c>
      <c r="H470" s="47" t="s">
        <v>7764</v>
      </c>
      <c r="I470" s="47" t="s">
        <v>7765</v>
      </c>
      <c r="J470" s="47" t="s">
        <v>4805</v>
      </c>
    </row>
    <row r="471" spans="2:10" ht="14.5">
      <c r="B471" s="47" t="s">
        <v>4875</v>
      </c>
      <c r="C471" s="47" t="s">
        <v>7761</v>
      </c>
      <c r="D471" s="47" t="s">
        <v>8310</v>
      </c>
      <c r="E471" s="47" t="s">
        <v>4872</v>
      </c>
      <c r="F471" s="47" t="s">
        <v>7763</v>
      </c>
      <c r="G471" s="364">
        <v>46238</v>
      </c>
      <c r="H471" s="47" t="s">
        <v>7764</v>
      </c>
      <c r="I471" s="47" t="s">
        <v>7765</v>
      </c>
      <c r="J471" s="47" t="s">
        <v>4872</v>
      </c>
    </row>
    <row r="472" spans="2:10" ht="14.5">
      <c r="B472" s="47" t="s">
        <v>4869</v>
      </c>
      <c r="C472" s="47" t="s">
        <v>7761</v>
      </c>
      <c r="D472" s="47" t="s">
        <v>8311</v>
      </c>
      <c r="E472" s="47" t="s">
        <v>4866</v>
      </c>
      <c r="F472" s="47" t="s">
        <v>7763</v>
      </c>
      <c r="G472" s="364">
        <v>46238</v>
      </c>
      <c r="H472" s="47" t="s">
        <v>7764</v>
      </c>
      <c r="I472" s="47" t="s">
        <v>7765</v>
      </c>
      <c r="J472" s="47"/>
    </row>
    <row r="473" spans="2:10" ht="14.5">
      <c r="B473" s="47" t="s">
        <v>8312</v>
      </c>
      <c r="C473" s="47" t="s">
        <v>64</v>
      </c>
      <c r="D473" s="47" t="s">
        <v>8313</v>
      </c>
      <c r="E473" s="47"/>
      <c r="F473" s="47" t="s">
        <v>7763</v>
      </c>
      <c r="G473" s="364">
        <v>46353</v>
      </c>
      <c r="H473" s="47" t="s">
        <v>8314</v>
      </c>
      <c r="I473" s="47" t="s">
        <v>7765</v>
      </c>
      <c r="J473" s="47" t="s">
        <v>8315</v>
      </c>
    </row>
    <row r="474" spans="2:10" ht="14.5">
      <c r="B474" s="47" t="s">
        <v>8316</v>
      </c>
      <c r="C474" s="47" t="s">
        <v>64</v>
      </c>
      <c r="D474" s="47" t="s">
        <v>8317</v>
      </c>
      <c r="E474" s="47"/>
      <c r="F474" s="47" t="s">
        <v>7763</v>
      </c>
      <c r="G474" s="364">
        <v>46325</v>
      </c>
      <c r="H474" s="47" t="s">
        <v>8314</v>
      </c>
      <c r="I474" s="47" t="s">
        <v>7765</v>
      </c>
      <c r="J474" s="47" t="s">
        <v>8315</v>
      </c>
    </row>
    <row r="475" spans="2:10" ht="14.5">
      <c r="B475" s="47" t="s">
        <v>8318</v>
      </c>
      <c r="C475" s="47" t="s">
        <v>64</v>
      </c>
      <c r="D475" s="47" t="s">
        <v>8319</v>
      </c>
      <c r="E475" s="47"/>
      <c r="F475" s="47" t="s">
        <v>7763</v>
      </c>
      <c r="G475" s="364">
        <v>46290</v>
      </c>
      <c r="H475" s="47" t="s">
        <v>8314</v>
      </c>
      <c r="I475" s="47" t="s">
        <v>7765</v>
      </c>
      <c r="J475" s="47" t="s">
        <v>8315</v>
      </c>
    </row>
    <row r="476" spans="2:10" ht="14.5">
      <c r="B476" s="47" t="s">
        <v>8320</v>
      </c>
      <c r="C476" s="47" t="s">
        <v>64</v>
      </c>
      <c r="D476" s="47" t="s">
        <v>8321</v>
      </c>
      <c r="E476" s="47"/>
      <c r="F476" s="47" t="s">
        <v>7763</v>
      </c>
      <c r="G476" s="364">
        <v>46262</v>
      </c>
      <c r="H476" s="47" t="s">
        <v>8314</v>
      </c>
      <c r="I476" s="47" t="s">
        <v>7765</v>
      </c>
      <c r="J476" s="47" t="s">
        <v>8315</v>
      </c>
    </row>
    <row r="477" spans="2:10" ht="14.5">
      <c r="B477" s="47" t="s">
        <v>8322</v>
      </c>
      <c r="C477" s="47" t="s">
        <v>64</v>
      </c>
      <c r="D477" s="47" t="s">
        <v>8323</v>
      </c>
      <c r="E477" s="47"/>
      <c r="F477" s="47" t="s">
        <v>7763</v>
      </c>
      <c r="G477" s="364">
        <v>46248</v>
      </c>
      <c r="H477" s="47" t="s">
        <v>8314</v>
      </c>
      <c r="I477" s="47" t="s">
        <v>7765</v>
      </c>
      <c r="J477" s="47" t="s">
        <v>8315</v>
      </c>
    </row>
    <row r="478" spans="2:10" ht="14.5">
      <c r="B478" s="47" t="s">
        <v>8324</v>
      </c>
      <c r="C478" s="47" t="s">
        <v>64</v>
      </c>
      <c r="D478" s="47" t="s">
        <v>8325</v>
      </c>
      <c r="E478" s="47"/>
      <c r="F478" s="47" t="s">
        <v>7763</v>
      </c>
      <c r="G478" s="364">
        <v>46234</v>
      </c>
      <c r="H478" s="47" t="s">
        <v>8314</v>
      </c>
      <c r="I478" s="47" t="s">
        <v>7765</v>
      </c>
      <c r="J478" s="47" t="s">
        <v>8315</v>
      </c>
    </row>
    <row r="479" spans="2:10" ht="14.5">
      <c r="B479" s="47" t="s">
        <v>4696</v>
      </c>
      <c r="C479" s="47" t="s">
        <v>64</v>
      </c>
      <c r="D479" s="47" t="s">
        <v>8326</v>
      </c>
      <c r="E479" s="47" t="s">
        <v>4694</v>
      </c>
      <c r="F479" s="47" t="s">
        <v>7763</v>
      </c>
      <c r="G479" s="364">
        <v>46232</v>
      </c>
      <c r="H479" s="47" t="s">
        <v>7764</v>
      </c>
      <c r="I479" s="47" t="s">
        <v>7765</v>
      </c>
      <c r="J479" s="47" t="s">
        <v>4694</v>
      </c>
    </row>
    <row r="480" spans="2:10" ht="14.5">
      <c r="B480" s="47" t="s">
        <v>4732</v>
      </c>
      <c r="C480" s="47" t="s">
        <v>7761</v>
      </c>
      <c r="D480" s="47" t="s">
        <v>8327</v>
      </c>
      <c r="E480" s="47" t="s">
        <v>4731</v>
      </c>
      <c r="F480" s="47" t="s">
        <v>7763</v>
      </c>
      <c r="G480" s="364">
        <v>46219</v>
      </c>
      <c r="H480" s="47" t="s">
        <v>7764</v>
      </c>
      <c r="I480" s="47" t="s">
        <v>7765</v>
      </c>
      <c r="J480" s="47" t="s">
        <v>4731</v>
      </c>
    </row>
    <row r="481" spans="2:10" ht="14.5">
      <c r="B481" s="47" t="s">
        <v>4737</v>
      </c>
      <c r="C481" s="47" t="s">
        <v>64</v>
      </c>
      <c r="D481" s="47" t="s">
        <v>8328</v>
      </c>
      <c r="E481" s="47" t="s">
        <v>4736</v>
      </c>
      <c r="F481" s="47" t="s">
        <v>7763</v>
      </c>
      <c r="G481" s="364">
        <v>46233</v>
      </c>
      <c r="H481" s="47" t="s">
        <v>7764</v>
      </c>
      <c r="I481" s="47" t="s">
        <v>7765</v>
      </c>
      <c r="J481" s="47" t="s">
        <v>4736</v>
      </c>
    </row>
    <row r="482" spans="2:10" ht="14.5">
      <c r="B482" s="47" t="s">
        <v>4746</v>
      </c>
      <c r="C482" s="47" t="s">
        <v>64</v>
      </c>
      <c r="D482" s="47" t="s">
        <v>8329</v>
      </c>
      <c r="E482" s="47" t="s">
        <v>4745</v>
      </c>
      <c r="F482" s="47" t="s">
        <v>7763</v>
      </c>
      <c r="G482" s="364">
        <v>46237</v>
      </c>
      <c r="H482" s="47" t="s">
        <v>7764</v>
      </c>
      <c r="I482" s="47" t="s">
        <v>7765</v>
      </c>
      <c r="J482" s="47" t="s">
        <v>4745</v>
      </c>
    </row>
    <row r="483" spans="2:10" ht="14.5">
      <c r="B483" s="47" t="s">
        <v>4753</v>
      </c>
      <c r="C483" s="47" t="s">
        <v>64</v>
      </c>
      <c r="D483" s="47" t="s">
        <v>8330</v>
      </c>
      <c r="E483" s="47" t="s">
        <v>4752</v>
      </c>
      <c r="F483" s="47" t="s">
        <v>7763</v>
      </c>
      <c r="G483" s="364">
        <v>46247</v>
      </c>
      <c r="H483" s="47" t="s">
        <v>7764</v>
      </c>
      <c r="I483" s="47" t="s">
        <v>7765</v>
      </c>
      <c r="J483" s="47" t="s">
        <v>4752</v>
      </c>
    </row>
    <row r="484" spans="2:10" ht="14.5">
      <c r="B484" s="47" t="s">
        <v>4751</v>
      </c>
      <c r="C484" s="47" t="s">
        <v>64</v>
      </c>
      <c r="D484" s="47" t="s">
        <v>8331</v>
      </c>
      <c r="E484" s="47" t="s">
        <v>4750</v>
      </c>
      <c r="F484" s="47" t="s">
        <v>7763</v>
      </c>
      <c r="G484" s="364">
        <v>46237</v>
      </c>
      <c r="H484" s="47" t="s">
        <v>7764</v>
      </c>
      <c r="I484" s="47" t="s">
        <v>7765</v>
      </c>
      <c r="J484" s="47" t="s">
        <v>4750</v>
      </c>
    </row>
    <row r="485" spans="2:10" ht="14.5">
      <c r="B485" s="47" t="s">
        <v>4757</v>
      </c>
      <c r="C485" s="47" t="s">
        <v>64</v>
      </c>
      <c r="D485" s="47" t="s">
        <v>8332</v>
      </c>
      <c r="E485" s="47" t="s">
        <v>4756</v>
      </c>
      <c r="F485" s="47" t="s">
        <v>7763</v>
      </c>
      <c r="G485" s="364">
        <v>46274</v>
      </c>
      <c r="H485" s="47" t="s">
        <v>7764</v>
      </c>
      <c r="I485" s="47" t="s">
        <v>7765</v>
      </c>
      <c r="J485" s="47" t="s">
        <v>4756</v>
      </c>
    </row>
    <row r="486" spans="2:10" ht="14.5">
      <c r="B486" s="47" t="s">
        <v>4762</v>
      </c>
      <c r="C486" s="47" t="s">
        <v>7761</v>
      </c>
      <c r="D486" s="47" t="s">
        <v>8333</v>
      </c>
      <c r="E486" s="47" t="s">
        <v>4760</v>
      </c>
      <c r="F486" s="47" t="s">
        <v>7763</v>
      </c>
      <c r="G486" s="364">
        <v>46232</v>
      </c>
      <c r="H486" s="47" t="s">
        <v>7764</v>
      </c>
      <c r="I486" s="47" t="s">
        <v>7765</v>
      </c>
      <c r="J486" s="47" t="s">
        <v>4760</v>
      </c>
    </row>
    <row r="487" spans="2:10" ht="14.5">
      <c r="B487" s="47" t="s">
        <v>4707</v>
      </c>
      <c r="C487" s="47" t="s">
        <v>64</v>
      </c>
      <c r="D487" s="47" t="s">
        <v>8334</v>
      </c>
      <c r="E487" s="47" t="s">
        <v>4705</v>
      </c>
      <c r="F487" s="47" t="s">
        <v>7763</v>
      </c>
      <c r="G487" s="364">
        <v>46237</v>
      </c>
      <c r="H487" s="47" t="s">
        <v>7764</v>
      </c>
      <c r="I487" s="47" t="s">
        <v>7765</v>
      </c>
      <c r="J487" s="47" t="s">
        <v>4705</v>
      </c>
    </row>
    <row r="488" spans="2:10" ht="14.5">
      <c r="B488" s="47" t="s">
        <v>4725</v>
      </c>
      <c r="C488" s="47" t="s">
        <v>64</v>
      </c>
      <c r="D488" s="47" t="s">
        <v>8335</v>
      </c>
      <c r="E488" s="47" t="s">
        <v>4723</v>
      </c>
      <c r="F488" s="47" t="s">
        <v>7763</v>
      </c>
      <c r="G488" s="364">
        <v>46246</v>
      </c>
      <c r="H488" s="47" t="s">
        <v>7764</v>
      </c>
      <c r="I488" s="47" t="s">
        <v>7765</v>
      </c>
      <c r="J488" s="47" t="s">
        <v>4723</v>
      </c>
    </row>
    <row r="489" spans="2:10" ht="14.5">
      <c r="B489" s="47" t="s">
        <v>8336</v>
      </c>
      <c r="C489" s="47" t="s">
        <v>64</v>
      </c>
      <c r="D489" s="47" t="s">
        <v>8337</v>
      </c>
      <c r="E489" s="47"/>
      <c r="F489" s="47" t="s">
        <v>7763</v>
      </c>
      <c r="G489" s="364">
        <v>46318</v>
      </c>
      <c r="H489" s="47" t="s">
        <v>8314</v>
      </c>
      <c r="I489" s="47" t="s">
        <v>7765</v>
      </c>
      <c r="J489" s="47" t="s">
        <v>8338</v>
      </c>
    </row>
    <row r="490" spans="2:10" ht="14.5">
      <c r="B490" s="47" t="s">
        <v>8339</v>
      </c>
      <c r="C490" s="47" t="s">
        <v>64</v>
      </c>
      <c r="D490" s="47" t="s">
        <v>8340</v>
      </c>
      <c r="E490" s="47"/>
      <c r="F490" s="47" t="s">
        <v>7763</v>
      </c>
      <c r="G490" s="364">
        <v>46290</v>
      </c>
      <c r="H490" s="47" t="s">
        <v>8314</v>
      </c>
      <c r="I490" s="47" t="s">
        <v>7765</v>
      </c>
      <c r="J490" s="47" t="s">
        <v>8338</v>
      </c>
    </row>
    <row r="491" spans="2:10" ht="14.5">
      <c r="B491" s="47" t="s">
        <v>8341</v>
      </c>
      <c r="C491" s="47" t="s">
        <v>64</v>
      </c>
      <c r="D491" s="47" t="s">
        <v>8342</v>
      </c>
      <c r="E491" s="47"/>
      <c r="F491" s="47" t="s">
        <v>7763</v>
      </c>
      <c r="G491" s="364">
        <v>46262</v>
      </c>
      <c r="H491" s="47" t="s">
        <v>8314</v>
      </c>
      <c r="I491" s="47" t="s">
        <v>7765</v>
      </c>
      <c r="J491" s="47" t="s">
        <v>8338</v>
      </c>
    </row>
    <row r="492" spans="2:10" ht="14.5">
      <c r="B492" s="47" t="s">
        <v>8343</v>
      </c>
      <c r="C492" s="47" t="s">
        <v>64</v>
      </c>
      <c r="D492" s="47" t="s">
        <v>8344</v>
      </c>
      <c r="E492" s="47"/>
      <c r="F492" s="47" t="s">
        <v>7763</v>
      </c>
      <c r="G492" s="364">
        <v>46234</v>
      </c>
      <c r="H492" s="47" t="s">
        <v>8314</v>
      </c>
      <c r="I492" s="47" t="s">
        <v>7765</v>
      </c>
      <c r="J492" s="47" t="s">
        <v>8345</v>
      </c>
    </row>
    <row r="493" spans="2:10" ht="14.5">
      <c r="B493" s="47" t="s">
        <v>4603</v>
      </c>
      <c r="C493" s="47" t="s">
        <v>7761</v>
      </c>
      <c r="D493" s="47" t="s">
        <v>8346</v>
      </c>
      <c r="E493" s="47" t="s">
        <v>4602</v>
      </c>
      <c r="F493" s="47" t="s">
        <v>7763</v>
      </c>
      <c r="G493" s="364">
        <v>46223</v>
      </c>
      <c r="H493" s="47" t="s">
        <v>7764</v>
      </c>
      <c r="I493" s="47" t="s">
        <v>7765</v>
      </c>
      <c r="J493" s="47" t="s">
        <v>4602</v>
      </c>
    </row>
    <row r="494" spans="2:10" ht="14.5">
      <c r="B494" s="47" t="s">
        <v>4608</v>
      </c>
      <c r="C494" s="47" t="s">
        <v>7761</v>
      </c>
      <c r="D494" s="47" t="s">
        <v>8347</v>
      </c>
      <c r="E494" s="47" t="s">
        <v>4607</v>
      </c>
      <c r="F494" s="47" t="s">
        <v>7763</v>
      </c>
      <c r="G494" s="364">
        <v>46223</v>
      </c>
      <c r="H494" s="47" t="s">
        <v>7764</v>
      </c>
      <c r="I494" s="47" t="s">
        <v>7765</v>
      </c>
      <c r="J494" s="47" t="s">
        <v>4607</v>
      </c>
    </row>
    <row r="495" spans="2:10" ht="14.5">
      <c r="B495" s="47" t="s">
        <v>4612</v>
      </c>
      <c r="C495" s="47" t="s">
        <v>7761</v>
      </c>
      <c r="D495" s="47" t="s">
        <v>8348</v>
      </c>
      <c r="E495" s="47" t="s">
        <v>4611</v>
      </c>
      <c r="F495" s="47" t="s">
        <v>7763</v>
      </c>
      <c r="G495" s="364">
        <v>46223</v>
      </c>
      <c r="H495" s="47" t="s">
        <v>7764</v>
      </c>
      <c r="I495" s="47" t="s">
        <v>7765</v>
      </c>
      <c r="J495" s="47" t="s">
        <v>4611</v>
      </c>
    </row>
    <row r="496" spans="2:10" ht="14.5">
      <c r="B496" s="47" t="s">
        <v>4617</v>
      </c>
      <c r="C496" s="47" t="s">
        <v>7761</v>
      </c>
      <c r="D496" s="47" t="s">
        <v>8349</v>
      </c>
      <c r="E496" s="47" t="s">
        <v>4613</v>
      </c>
      <c r="F496" s="47" t="s">
        <v>7763</v>
      </c>
      <c r="G496" s="364">
        <v>46226</v>
      </c>
      <c r="H496" s="47" t="s">
        <v>7764</v>
      </c>
      <c r="I496" s="47" t="s">
        <v>7765</v>
      </c>
      <c r="J496" s="47" t="s">
        <v>4613</v>
      </c>
    </row>
    <row r="497" spans="2:10" ht="14.5">
      <c r="B497" s="47" t="s">
        <v>4622</v>
      </c>
      <c r="C497" s="47" t="s">
        <v>64</v>
      </c>
      <c r="D497" s="47" t="s">
        <v>8350</v>
      </c>
      <c r="E497" s="47" t="s">
        <v>4620</v>
      </c>
      <c r="F497" s="47" t="s">
        <v>7763</v>
      </c>
      <c r="G497" s="364">
        <v>46239</v>
      </c>
      <c r="H497" s="47" t="s">
        <v>7764</v>
      </c>
      <c r="I497" s="47" t="s">
        <v>7765</v>
      </c>
      <c r="J497" s="47" t="s">
        <v>4620</v>
      </c>
    </row>
    <row r="498" spans="2:10" ht="14.5">
      <c r="B498" s="47" t="s">
        <v>4627</v>
      </c>
      <c r="C498" s="47" t="s">
        <v>64</v>
      </c>
      <c r="D498" s="47" t="s">
        <v>8351</v>
      </c>
      <c r="E498" s="47" t="s">
        <v>4626</v>
      </c>
      <c r="F498" s="47" t="s">
        <v>7763</v>
      </c>
      <c r="G498" s="364">
        <v>46239</v>
      </c>
      <c r="H498" s="47" t="s">
        <v>7764</v>
      </c>
      <c r="I498" s="47" t="s">
        <v>7765</v>
      </c>
      <c r="J498" s="47" t="s">
        <v>4626</v>
      </c>
    </row>
    <row r="499" spans="2:10" ht="14.5">
      <c r="B499" s="47" t="s">
        <v>4629</v>
      </c>
      <c r="C499" s="47" t="s">
        <v>64</v>
      </c>
      <c r="D499" s="47" t="s">
        <v>8352</v>
      </c>
      <c r="E499" s="47" t="s">
        <v>4628</v>
      </c>
      <c r="F499" s="47" t="s">
        <v>7763</v>
      </c>
      <c r="G499" s="364">
        <v>46241</v>
      </c>
      <c r="H499" s="47" t="s">
        <v>7764</v>
      </c>
      <c r="I499" s="47" t="s">
        <v>7765</v>
      </c>
      <c r="J499" s="47" t="s">
        <v>4628</v>
      </c>
    </row>
    <row r="500" spans="2:10" ht="14.5">
      <c r="B500" s="47" t="s">
        <v>4633</v>
      </c>
      <c r="C500" s="47" t="s">
        <v>64</v>
      </c>
      <c r="D500" s="47" t="s">
        <v>8353</v>
      </c>
      <c r="E500" s="47" t="s">
        <v>4632</v>
      </c>
      <c r="F500" s="47" t="s">
        <v>7763</v>
      </c>
      <c r="G500" s="364">
        <v>46241</v>
      </c>
      <c r="H500" s="47" t="s">
        <v>7764</v>
      </c>
      <c r="I500" s="47" t="s">
        <v>7765</v>
      </c>
      <c r="J500" s="47" t="s">
        <v>4632</v>
      </c>
    </row>
    <row r="501" spans="2:10" ht="14.5">
      <c r="B501" s="47" t="s">
        <v>4635</v>
      </c>
      <c r="C501" s="47" t="s">
        <v>64</v>
      </c>
      <c r="D501" s="47" t="s">
        <v>8354</v>
      </c>
      <c r="E501" s="47" t="s">
        <v>4634</v>
      </c>
      <c r="F501" s="47" t="s">
        <v>7763</v>
      </c>
      <c r="G501" s="364">
        <v>46241</v>
      </c>
      <c r="H501" s="47" t="s">
        <v>7764</v>
      </c>
      <c r="I501" s="47" t="s">
        <v>7765</v>
      </c>
      <c r="J501" s="47" t="s">
        <v>4634</v>
      </c>
    </row>
    <row r="502" spans="2:10" ht="14.5">
      <c r="B502" s="47" t="s">
        <v>8355</v>
      </c>
      <c r="C502" s="47" t="s">
        <v>64</v>
      </c>
      <c r="D502" s="47" t="s">
        <v>8356</v>
      </c>
      <c r="E502" s="47"/>
      <c r="F502" s="47" t="s">
        <v>7810</v>
      </c>
      <c r="G502" s="364">
        <v>46174</v>
      </c>
      <c r="H502" s="47" t="s">
        <v>7764</v>
      </c>
      <c r="I502" s="47" t="s">
        <v>7765</v>
      </c>
      <c r="J502" s="47" t="s">
        <v>8357</v>
      </c>
    </row>
    <row r="503" spans="2:10" ht="14.5">
      <c r="B503" s="47" t="s">
        <v>8358</v>
      </c>
      <c r="C503" s="47" t="s">
        <v>64</v>
      </c>
      <c r="D503" s="47" t="s">
        <v>8359</v>
      </c>
      <c r="E503" s="47" t="s">
        <v>8360</v>
      </c>
      <c r="F503" s="47" t="s">
        <v>7763</v>
      </c>
      <c r="G503" s="364">
        <v>46174</v>
      </c>
      <c r="H503" s="47" t="s">
        <v>7764</v>
      </c>
      <c r="I503" s="47" t="s">
        <v>7765</v>
      </c>
      <c r="J503" s="47" t="s">
        <v>8361</v>
      </c>
    </row>
    <row r="504" spans="2:10" ht="14.5">
      <c r="B504" s="47" t="s">
        <v>4691</v>
      </c>
      <c r="C504" s="47" t="s">
        <v>7761</v>
      </c>
      <c r="D504" s="47" t="s">
        <v>8362</v>
      </c>
      <c r="E504" s="47" t="s">
        <v>4688</v>
      </c>
      <c r="F504" s="47" t="s">
        <v>7763</v>
      </c>
      <c r="G504" s="364">
        <v>46226</v>
      </c>
      <c r="H504" s="47" t="s">
        <v>7764</v>
      </c>
      <c r="I504" s="47" t="s">
        <v>7765</v>
      </c>
      <c r="J504" s="47" t="s">
        <v>4688</v>
      </c>
    </row>
    <row r="505" spans="2:10" ht="14.5">
      <c r="B505" s="47" t="s">
        <v>4685</v>
      </c>
      <c r="C505" s="47" t="s">
        <v>64</v>
      </c>
      <c r="D505" s="47" t="s">
        <v>8363</v>
      </c>
      <c r="E505" s="47" t="s">
        <v>4684</v>
      </c>
      <c r="F505" s="47" t="s">
        <v>7763</v>
      </c>
      <c r="G505" s="364">
        <v>46238</v>
      </c>
      <c r="H505" s="47" t="s">
        <v>7764</v>
      </c>
      <c r="I505" s="47" t="s">
        <v>7765</v>
      </c>
      <c r="J505" s="47" t="s">
        <v>4684</v>
      </c>
    </row>
    <row r="506" spans="2:10" ht="14.5">
      <c r="B506" s="47" t="s">
        <v>4681</v>
      </c>
      <c r="C506" s="47" t="s">
        <v>64</v>
      </c>
      <c r="D506" s="47" t="s">
        <v>8364</v>
      </c>
      <c r="E506" s="47" t="s">
        <v>4679</v>
      </c>
      <c r="F506" s="47" t="s">
        <v>7763</v>
      </c>
      <c r="G506" s="364">
        <v>46247</v>
      </c>
      <c r="H506" s="47" t="s">
        <v>7764</v>
      </c>
      <c r="I506" s="47" t="s">
        <v>7765</v>
      </c>
      <c r="J506" s="47" t="s">
        <v>4679</v>
      </c>
    </row>
    <row r="507" spans="2:10" ht="14.5">
      <c r="B507" s="47" t="s">
        <v>4676</v>
      </c>
      <c r="C507" s="47" t="s">
        <v>64</v>
      </c>
      <c r="D507" s="47" t="s">
        <v>8365</v>
      </c>
      <c r="E507" s="47" t="s">
        <v>4675</v>
      </c>
      <c r="F507" s="47" t="s">
        <v>7763</v>
      </c>
      <c r="G507" s="364">
        <v>46246</v>
      </c>
      <c r="H507" s="47" t="s">
        <v>7764</v>
      </c>
      <c r="I507" s="47" t="s">
        <v>7765</v>
      </c>
      <c r="J507" s="47" t="s">
        <v>4675</v>
      </c>
    </row>
    <row r="508" spans="2:10" ht="14.5">
      <c r="B508" s="47" t="s">
        <v>4670</v>
      </c>
      <c r="C508" s="47" t="s">
        <v>7761</v>
      </c>
      <c r="D508" s="47" t="s">
        <v>8366</v>
      </c>
      <c r="E508" s="47" t="s">
        <v>4668</v>
      </c>
      <c r="F508" s="47" t="s">
        <v>7763</v>
      </c>
      <c r="G508" s="364">
        <v>46206</v>
      </c>
      <c r="H508" s="47" t="s">
        <v>7764</v>
      </c>
      <c r="I508" s="47" t="s">
        <v>7765</v>
      </c>
      <c r="J508" s="47" t="s">
        <v>4668</v>
      </c>
    </row>
    <row r="509" spans="2:10" ht="14.5">
      <c r="B509" s="47" t="s">
        <v>4664</v>
      </c>
      <c r="C509" s="47" t="s">
        <v>64</v>
      </c>
      <c r="D509" s="47" t="s">
        <v>8367</v>
      </c>
      <c r="E509" s="47" t="s">
        <v>4662</v>
      </c>
      <c r="F509" s="47" t="s">
        <v>7763</v>
      </c>
      <c r="G509" s="364">
        <v>46230</v>
      </c>
      <c r="H509" s="47" t="s">
        <v>7764</v>
      </c>
      <c r="I509" s="47" t="s">
        <v>7765</v>
      </c>
      <c r="J509" s="47" t="s">
        <v>4662</v>
      </c>
    </row>
    <row r="510" spans="2:10" ht="14.5">
      <c r="B510" s="47" t="s">
        <v>4661</v>
      </c>
      <c r="C510" s="47" t="s">
        <v>64</v>
      </c>
      <c r="D510" s="47" t="s">
        <v>8368</v>
      </c>
      <c r="E510" s="47" t="s">
        <v>4660</v>
      </c>
      <c r="F510" s="47" t="s">
        <v>7763</v>
      </c>
      <c r="G510" s="364">
        <v>46230</v>
      </c>
      <c r="H510" s="47" t="s">
        <v>7764</v>
      </c>
      <c r="I510" s="47" t="s">
        <v>7765</v>
      </c>
      <c r="J510" s="47" t="s">
        <v>4660</v>
      </c>
    </row>
    <row r="511" spans="2:10" ht="14.5">
      <c r="B511" s="47" t="s">
        <v>4638</v>
      </c>
      <c r="C511" s="47" t="s">
        <v>7761</v>
      </c>
      <c r="D511" s="47" t="s">
        <v>8369</v>
      </c>
      <c r="E511" s="47" t="s">
        <v>4636</v>
      </c>
      <c r="F511" s="47" t="s">
        <v>7763</v>
      </c>
      <c r="G511" s="364">
        <v>46204</v>
      </c>
      <c r="H511" s="47" t="s">
        <v>7764</v>
      </c>
      <c r="I511" s="47" t="s">
        <v>7765</v>
      </c>
      <c r="J511" s="47" t="s">
        <v>4636</v>
      </c>
    </row>
    <row r="512" spans="2:10" ht="14.5">
      <c r="B512" s="47" t="s">
        <v>8370</v>
      </c>
      <c r="C512" s="47" t="s">
        <v>7761</v>
      </c>
      <c r="D512" s="47" t="s">
        <v>8150</v>
      </c>
      <c r="E512" s="47" t="s">
        <v>4642</v>
      </c>
      <c r="F512" s="47" t="s">
        <v>7763</v>
      </c>
      <c r="G512" s="364">
        <v>46204</v>
      </c>
      <c r="H512" s="47" t="s">
        <v>7911</v>
      </c>
      <c r="I512" s="47" t="s">
        <v>7765</v>
      </c>
      <c r="J512" s="47" t="s">
        <v>4642</v>
      </c>
    </row>
    <row r="513" spans="2:10" ht="14.5">
      <c r="B513" s="47" t="s">
        <v>4601</v>
      </c>
      <c r="C513" s="47" t="s">
        <v>7761</v>
      </c>
      <c r="D513" s="47" t="s">
        <v>8371</v>
      </c>
      <c r="E513" s="47" t="s">
        <v>4600</v>
      </c>
      <c r="F513" s="47" t="s">
        <v>7763</v>
      </c>
      <c r="G513" s="364">
        <v>46204</v>
      </c>
      <c r="H513" s="47" t="s">
        <v>7764</v>
      </c>
      <c r="I513" s="47" t="s">
        <v>7765</v>
      </c>
      <c r="J513" s="47" t="s">
        <v>4600</v>
      </c>
    </row>
    <row r="514" spans="2:10" ht="14.5">
      <c r="B514" s="47" t="s">
        <v>4596</v>
      </c>
      <c r="C514" s="47" t="s">
        <v>7761</v>
      </c>
      <c r="D514" s="47" t="s">
        <v>8372</v>
      </c>
      <c r="E514" s="47" t="s">
        <v>4595</v>
      </c>
      <c r="F514" s="47" t="s">
        <v>7763</v>
      </c>
      <c r="G514" s="364">
        <v>46204</v>
      </c>
      <c r="H514" s="47" t="s">
        <v>7764</v>
      </c>
      <c r="I514" s="47" t="s">
        <v>7765</v>
      </c>
      <c r="J514" s="47" t="s">
        <v>4595</v>
      </c>
    </row>
    <row r="515" spans="2:10" ht="14.5">
      <c r="B515" s="47" t="s">
        <v>4594</v>
      </c>
      <c r="C515" s="47" t="s">
        <v>7761</v>
      </c>
      <c r="D515" s="47" t="s">
        <v>8373</v>
      </c>
      <c r="E515" s="47" t="s">
        <v>4591</v>
      </c>
      <c r="F515" s="47" t="s">
        <v>7763</v>
      </c>
      <c r="G515" s="364">
        <v>46203</v>
      </c>
      <c r="H515" s="47" t="s">
        <v>7764</v>
      </c>
      <c r="I515" s="47" t="s">
        <v>7765</v>
      </c>
      <c r="J515" s="47"/>
    </row>
    <row r="516" spans="2:10" ht="14.5">
      <c r="B516" s="47" t="s">
        <v>4588</v>
      </c>
      <c r="C516" s="47" t="s">
        <v>7761</v>
      </c>
      <c r="D516" s="47" t="s">
        <v>8374</v>
      </c>
      <c r="E516" s="47" t="s">
        <v>4585</v>
      </c>
      <c r="F516" s="47" t="s">
        <v>7763</v>
      </c>
      <c r="G516" s="364">
        <v>46203</v>
      </c>
      <c r="H516" s="47" t="s">
        <v>7764</v>
      </c>
      <c r="I516" s="47" t="s">
        <v>7765</v>
      </c>
      <c r="J516" s="47"/>
    </row>
    <row r="517" spans="2:10" ht="14.5">
      <c r="B517" s="47" t="s">
        <v>4584</v>
      </c>
      <c r="C517" s="47" t="s">
        <v>64</v>
      </c>
      <c r="D517" s="47" t="s">
        <v>8375</v>
      </c>
      <c r="E517" s="47" t="s">
        <v>4583</v>
      </c>
      <c r="F517" s="47" t="s">
        <v>7763</v>
      </c>
      <c r="G517" s="364">
        <v>46225</v>
      </c>
      <c r="H517" s="47" t="s">
        <v>7764</v>
      </c>
      <c r="I517" s="47" t="s">
        <v>7765</v>
      </c>
      <c r="J517" s="47" t="s">
        <v>4583</v>
      </c>
    </row>
    <row r="518" spans="2:10" ht="14.5">
      <c r="B518" s="47" t="s">
        <v>4575</v>
      </c>
      <c r="C518" s="47" t="s">
        <v>64</v>
      </c>
      <c r="D518" s="47" t="s">
        <v>8376</v>
      </c>
      <c r="E518" s="47" t="s">
        <v>4572</v>
      </c>
      <c r="F518" s="47" t="s">
        <v>7763</v>
      </c>
      <c r="G518" s="364">
        <v>46223</v>
      </c>
      <c r="H518" s="47" t="s">
        <v>7764</v>
      </c>
      <c r="I518" s="47" t="s">
        <v>7765</v>
      </c>
      <c r="J518" s="47" t="s">
        <v>4572</v>
      </c>
    </row>
    <row r="519" spans="2:10" ht="14.5">
      <c r="B519" s="47" t="s">
        <v>4580</v>
      </c>
      <c r="C519" s="47" t="s">
        <v>64</v>
      </c>
      <c r="D519" s="47" t="s">
        <v>8377</v>
      </c>
      <c r="E519" s="47" t="s">
        <v>4579</v>
      </c>
      <c r="F519" s="47" t="s">
        <v>7763</v>
      </c>
      <c r="G519" s="364">
        <v>46225</v>
      </c>
      <c r="H519" s="47" t="s">
        <v>7764</v>
      </c>
      <c r="I519" s="47" t="s">
        <v>7765</v>
      </c>
      <c r="J519" s="47" t="s">
        <v>4579</v>
      </c>
    </row>
    <row r="520" spans="2:10" ht="14.5">
      <c r="B520" s="47" t="s">
        <v>4571</v>
      </c>
      <c r="C520" s="47" t="s">
        <v>64</v>
      </c>
      <c r="D520" s="47" t="s">
        <v>8378</v>
      </c>
      <c r="E520" s="47" t="s">
        <v>4570</v>
      </c>
      <c r="F520" s="47" t="s">
        <v>7763</v>
      </c>
      <c r="G520" s="364">
        <v>46248</v>
      </c>
      <c r="H520" s="47" t="s">
        <v>7764</v>
      </c>
      <c r="I520" s="47" t="s">
        <v>7765</v>
      </c>
      <c r="J520" s="47" t="s">
        <v>4570</v>
      </c>
    </row>
    <row r="521" spans="2:10" ht="14.5">
      <c r="B521" s="47" t="s">
        <v>4565</v>
      </c>
      <c r="C521" s="47" t="s">
        <v>64</v>
      </c>
      <c r="D521" s="47" t="s">
        <v>8379</v>
      </c>
      <c r="E521" s="47" t="s">
        <v>4564</v>
      </c>
      <c r="F521" s="47" t="s">
        <v>7763</v>
      </c>
      <c r="G521" s="364">
        <v>46248</v>
      </c>
      <c r="H521" s="47" t="s">
        <v>7764</v>
      </c>
      <c r="I521" s="47" t="s">
        <v>7765</v>
      </c>
      <c r="J521" s="47" t="s">
        <v>4564</v>
      </c>
    </row>
    <row r="522" spans="2:10" ht="14.5">
      <c r="B522" s="47" t="s">
        <v>8380</v>
      </c>
      <c r="C522" s="47" t="s">
        <v>7761</v>
      </c>
      <c r="D522" s="47" t="s">
        <v>8148</v>
      </c>
      <c r="E522" s="47" t="s">
        <v>4647</v>
      </c>
      <c r="F522" s="47" t="s">
        <v>7763</v>
      </c>
      <c r="G522" s="364">
        <v>46204</v>
      </c>
      <c r="H522" s="47" t="s">
        <v>7911</v>
      </c>
      <c r="I522" s="47" t="s">
        <v>7765</v>
      </c>
      <c r="J522" s="47" t="s">
        <v>4647</v>
      </c>
    </row>
    <row r="523" spans="2:10" ht="14.5">
      <c r="B523" s="47" t="s">
        <v>4657</v>
      </c>
      <c r="C523" s="47" t="s">
        <v>64</v>
      </c>
      <c r="D523" s="47" t="s">
        <v>8381</v>
      </c>
      <c r="E523" s="47" t="s">
        <v>4656</v>
      </c>
      <c r="F523" s="47" t="s">
        <v>7763</v>
      </c>
      <c r="G523" s="364">
        <v>46230</v>
      </c>
      <c r="H523" s="47" t="s">
        <v>7764</v>
      </c>
      <c r="I523" s="47" t="s">
        <v>7765</v>
      </c>
      <c r="J523" s="47" t="s">
        <v>4656</v>
      </c>
    </row>
    <row r="524" spans="2:10" ht="14.5">
      <c r="B524" s="47" t="s">
        <v>4509</v>
      </c>
      <c r="C524" s="47" t="s">
        <v>64</v>
      </c>
      <c r="D524" s="47" t="s">
        <v>8382</v>
      </c>
      <c r="E524" s="47" t="s">
        <v>4508</v>
      </c>
      <c r="F524" s="47" t="s">
        <v>7763</v>
      </c>
      <c r="G524" s="364">
        <v>46232</v>
      </c>
      <c r="H524" s="47" t="s">
        <v>7764</v>
      </c>
      <c r="I524" s="47" t="s">
        <v>7765</v>
      </c>
      <c r="J524" s="47" t="s">
        <v>4508</v>
      </c>
    </row>
    <row r="525" spans="2:10" ht="14.5">
      <c r="B525" s="47" t="s">
        <v>4653</v>
      </c>
      <c r="C525" s="47" t="s">
        <v>7761</v>
      </c>
      <c r="D525" s="47" t="s">
        <v>8383</v>
      </c>
      <c r="E525" s="47" t="s">
        <v>4652</v>
      </c>
      <c r="F525" s="47" t="s">
        <v>7763</v>
      </c>
      <c r="G525" s="364">
        <v>46225</v>
      </c>
      <c r="H525" s="47" t="s">
        <v>7764</v>
      </c>
      <c r="I525" s="47" t="s">
        <v>7765</v>
      </c>
      <c r="J525" s="47" t="s">
        <v>4652</v>
      </c>
    </row>
    <row r="526" spans="2:10" ht="14.5">
      <c r="B526" s="47" t="s">
        <v>8384</v>
      </c>
      <c r="C526" s="47" t="s">
        <v>7761</v>
      </c>
      <c r="D526" s="47" t="s">
        <v>8146</v>
      </c>
      <c r="E526" s="47" t="s">
        <v>4650</v>
      </c>
      <c r="F526" s="47" t="s">
        <v>7763</v>
      </c>
      <c r="G526" s="364">
        <v>46204</v>
      </c>
      <c r="H526" s="47" t="s">
        <v>7911</v>
      </c>
      <c r="I526" s="47" t="s">
        <v>7765</v>
      </c>
      <c r="J526" s="47" t="s">
        <v>4650</v>
      </c>
    </row>
    <row r="527" spans="2:10" ht="14.5">
      <c r="B527" s="47" t="s">
        <v>4494</v>
      </c>
      <c r="C527" s="47" t="s">
        <v>64</v>
      </c>
      <c r="D527" s="47" t="s">
        <v>8385</v>
      </c>
      <c r="E527" s="47" t="s">
        <v>4493</v>
      </c>
      <c r="F527" s="47" t="s">
        <v>7763</v>
      </c>
      <c r="G527" s="364">
        <v>46230</v>
      </c>
      <c r="H527" s="47" t="s">
        <v>7764</v>
      </c>
      <c r="I527" s="47" t="s">
        <v>7765</v>
      </c>
      <c r="J527" s="47" t="s">
        <v>4493</v>
      </c>
    </row>
    <row r="528" spans="2:10" ht="14.5">
      <c r="B528" s="47" t="s">
        <v>4489</v>
      </c>
      <c r="C528" s="47" t="s">
        <v>64</v>
      </c>
      <c r="D528" s="47" t="s">
        <v>8386</v>
      </c>
      <c r="E528" s="47" t="s">
        <v>4487</v>
      </c>
      <c r="F528" s="47" t="s">
        <v>7763</v>
      </c>
      <c r="G528" s="364">
        <v>46230</v>
      </c>
      <c r="H528" s="47" t="s">
        <v>7764</v>
      </c>
      <c r="I528" s="47" t="s">
        <v>7765</v>
      </c>
      <c r="J528" s="47" t="s">
        <v>4487</v>
      </c>
    </row>
    <row r="529" spans="2:10" ht="14.5">
      <c r="B529" s="47" t="s">
        <v>7282</v>
      </c>
      <c r="C529" s="47" t="s">
        <v>64</v>
      </c>
      <c r="D529" s="47" t="s">
        <v>8387</v>
      </c>
      <c r="E529" s="47" t="s">
        <v>8388</v>
      </c>
      <c r="F529" s="47" t="s">
        <v>7810</v>
      </c>
      <c r="G529" s="364">
        <v>46216</v>
      </c>
      <c r="H529" s="47" t="s">
        <v>7764</v>
      </c>
      <c r="I529" s="47" t="s">
        <v>7765</v>
      </c>
      <c r="J529" s="47" t="s">
        <v>8389</v>
      </c>
    </row>
    <row r="530" spans="2:10" ht="14.5">
      <c r="B530" s="47" t="s">
        <v>7296</v>
      </c>
      <c r="C530" s="47" t="s">
        <v>64</v>
      </c>
      <c r="D530" s="47" t="s">
        <v>8390</v>
      </c>
      <c r="E530" s="47" t="s">
        <v>8391</v>
      </c>
      <c r="F530" s="47" t="s">
        <v>7810</v>
      </c>
      <c r="G530" s="364">
        <v>46211</v>
      </c>
      <c r="H530" s="47" t="s">
        <v>7764</v>
      </c>
      <c r="I530" s="47" t="s">
        <v>7765</v>
      </c>
      <c r="J530" s="47" t="s">
        <v>8392</v>
      </c>
    </row>
    <row r="531" spans="2:10" ht="14.5">
      <c r="B531" s="47" t="s">
        <v>7305</v>
      </c>
      <c r="C531" s="47" t="s">
        <v>64</v>
      </c>
      <c r="D531" s="47" t="s">
        <v>8393</v>
      </c>
      <c r="E531" s="47" t="s">
        <v>8394</v>
      </c>
      <c r="F531" s="47" t="s">
        <v>7810</v>
      </c>
      <c r="G531" s="364">
        <v>46220</v>
      </c>
      <c r="H531" s="47" t="s">
        <v>7764</v>
      </c>
      <c r="I531" s="47" t="s">
        <v>7765</v>
      </c>
      <c r="J531" s="47" t="s">
        <v>8395</v>
      </c>
    </row>
    <row r="532" spans="2:10" ht="14.5">
      <c r="B532" s="47" t="s">
        <v>4503</v>
      </c>
      <c r="C532" s="47" t="s">
        <v>64</v>
      </c>
      <c r="D532" s="47" t="s">
        <v>8396</v>
      </c>
      <c r="E532" s="47" t="s">
        <v>4501</v>
      </c>
      <c r="F532" s="47" t="s">
        <v>7763</v>
      </c>
      <c r="G532" s="364">
        <v>46220</v>
      </c>
      <c r="H532" s="47" t="s">
        <v>7764</v>
      </c>
      <c r="I532" s="47" t="s">
        <v>7765</v>
      </c>
      <c r="J532" s="47" t="s">
        <v>4501</v>
      </c>
    </row>
    <row r="533" spans="2:10" ht="14.5">
      <c r="B533" s="47" t="s">
        <v>2429</v>
      </c>
      <c r="C533" s="47" t="s">
        <v>64</v>
      </c>
      <c r="D533" s="47" t="s">
        <v>8397</v>
      </c>
      <c r="E533" s="47" t="s">
        <v>2427</v>
      </c>
      <c r="F533" s="47" t="s">
        <v>7763</v>
      </c>
      <c r="G533" s="364">
        <v>46226</v>
      </c>
      <c r="H533" s="47" t="s">
        <v>7769</v>
      </c>
      <c r="I533" s="47" t="s">
        <v>7765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8398</v>
      </c>
      <c r="E534" s="47" t="s">
        <v>2435</v>
      </c>
      <c r="F534" s="47" t="s">
        <v>7763</v>
      </c>
      <c r="G534" s="364">
        <v>46226</v>
      </c>
      <c r="H534" s="47" t="s">
        <v>7764</v>
      </c>
      <c r="I534" s="47" t="s">
        <v>7765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8399</v>
      </c>
      <c r="E535" s="47" t="s">
        <v>2414</v>
      </c>
      <c r="F535" s="47" t="s">
        <v>7763</v>
      </c>
      <c r="G535" s="364">
        <v>46227</v>
      </c>
      <c r="H535" s="47" t="s">
        <v>7764</v>
      </c>
      <c r="I535" s="47" t="s">
        <v>7765</v>
      </c>
      <c r="J535" s="47" t="s">
        <v>2414</v>
      </c>
    </row>
    <row r="536" spans="2:10" ht="14.5">
      <c r="B536" s="47" t="s">
        <v>4561</v>
      </c>
      <c r="C536" s="47" t="s">
        <v>64</v>
      </c>
      <c r="D536" s="47" t="s">
        <v>8400</v>
      </c>
      <c r="E536" s="47" t="s">
        <v>4560</v>
      </c>
      <c r="F536" s="47" t="s">
        <v>7763</v>
      </c>
      <c r="G536" s="364">
        <v>46233</v>
      </c>
      <c r="H536" s="47" t="s">
        <v>7764</v>
      </c>
      <c r="I536" s="47" t="s">
        <v>7765</v>
      </c>
      <c r="J536" s="47" t="s">
        <v>4560</v>
      </c>
    </row>
    <row r="537" spans="2:10" ht="14.5">
      <c r="B537" s="47" t="s">
        <v>4557</v>
      </c>
      <c r="C537" s="47" t="s">
        <v>64</v>
      </c>
      <c r="D537" s="47" t="s">
        <v>8401</v>
      </c>
      <c r="E537" s="47" t="s">
        <v>4555</v>
      </c>
      <c r="F537" s="47" t="s">
        <v>7763</v>
      </c>
      <c r="G537" s="364">
        <v>46234</v>
      </c>
      <c r="H537" s="47" t="s">
        <v>7764</v>
      </c>
      <c r="I537" s="47" t="s">
        <v>7765</v>
      </c>
      <c r="J537" s="47" t="s">
        <v>4555</v>
      </c>
    </row>
    <row r="538" spans="2:10" ht="14.5">
      <c r="B538" s="47" t="s">
        <v>8402</v>
      </c>
      <c r="C538" s="47" t="s">
        <v>64</v>
      </c>
      <c r="D538" s="47" t="s">
        <v>8152</v>
      </c>
      <c r="E538" s="47" t="s">
        <v>4551</v>
      </c>
      <c r="F538" s="47" t="s">
        <v>7763</v>
      </c>
      <c r="G538" s="364">
        <v>46244</v>
      </c>
      <c r="H538" s="47" t="s">
        <v>7911</v>
      </c>
      <c r="I538" s="47" t="s">
        <v>7765</v>
      </c>
      <c r="J538" s="47" t="s">
        <v>4551</v>
      </c>
    </row>
    <row r="539" spans="2:10" ht="14.5">
      <c r="B539" s="47" t="s">
        <v>4538</v>
      </c>
      <c r="C539" s="47" t="s">
        <v>64</v>
      </c>
      <c r="D539" s="47" t="s">
        <v>8403</v>
      </c>
      <c r="E539" s="47" t="s">
        <v>4536</v>
      </c>
      <c r="F539" s="47" t="s">
        <v>7763</v>
      </c>
      <c r="G539" s="364">
        <v>46225</v>
      </c>
      <c r="H539" s="47" t="s">
        <v>7764</v>
      </c>
      <c r="I539" s="47" t="s">
        <v>7765</v>
      </c>
      <c r="J539" s="47" t="s">
        <v>4536</v>
      </c>
    </row>
    <row r="540" spans="2:10" ht="14.5">
      <c r="B540" s="47" t="s">
        <v>4542</v>
      </c>
      <c r="C540" s="47" t="s">
        <v>7761</v>
      </c>
      <c r="D540" s="47" t="s">
        <v>8404</v>
      </c>
      <c r="E540" s="47" t="s">
        <v>4539</v>
      </c>
      <c r="F540" s="47" t="s">
        <v>7763</v>
      </c>
      <c r="G540" s="364">
        <v>46225</v>
      </c>
      <c r="H540" s="47" t="s">
        <v>7764</v>
      </c>
      <c r="I540" s="47" t="s">
        <v>7765</v>
      </c>
      <c r="J540" s="47" t="s">
        <v>4539</v>
      </c>
    </row>
    <row r="541" spans="2:10" ht="14.5">
      <c r="B541" s="47" t="s">
        <v>4533</v>
      </c>
      <c r="C541" s="47" t="s">
        <v>64</v>
      </c>
      <c r="D541" s="47" t="s">
        <v>8405</v>
      </c>
      <c r="E541" s="47" t="s">
        <v>4532</v>
      </c>
      <c r="F541" s="47" t="s">
        <v>7763</v>
      </c>
      <c r="G541" s="364">
        <v>46225</v>
      </c>
      <c r="H541" s="47" t="s">
        <v>7764</v>
      </c>
      <c r="I541" s="47" t="s">
        <v>7765</v>
      </c>
      <c r="J541" s="47" t="s">
        <v>4532</v>
      </c>
    </row>
    <row r="542" spans="2:10" ht="14.5">
      <c r="B542" s="47" t="s">
        <v>4528</v>
      </c>
      <c r="C542" s="47" t="s">
        <v>64</v>
      </c>
      <c r="D542" s="47" t="s">
        <v>8406</v>
      </c>
      <c r="E542" s="47" t="s">
        <v>4525</v>
      </c>
      <c r="F542" s="47" t="s">
        <v>7763</v>
      </c>
      <c r="G542" s="364">
        <v>46230</v>
      </c>
      <c r="H542" s="47" t="s">
        <v>7764</v>
      </c>
      <c r="I542" s="47" t="s">
        <v>7765</v>
      </c>
      <c r="J542" s="47" t="s">
        <v>4525</v>
      </c>
    </row>
    <row r="543" spans="2:10" ht="14.5">
      <c r="B543" s="47" t="s">
        <v>4522</v>
      </c>
      <c r="C543" s="47" t="s">
        <v>64</v>
      </c>
      <c r="D543" s="47" t="s">
        <v>8407</v>
      </c>
      <c r="E543" s="47" t="s">
        <v>4521</v>
      </c>
      <c r="F543" s="47" t="s">
        <v>7763</v>
      </c>
      <c r="G543" s="364">
        <v>46219</v>
      </c>
      <c r="H543" s="47" t="s">
        <v>7764</v>
      </c>
      <c r="I543" s="47" t="s">
        <v>7765</v>
      </c>
      <c r="J543" s="47" t="s">
        <v>4521</v>
      </c>
    </row>
    <row r="544" spans="2:10" ht="14.5">
      <c r="B544" s="47" t="s">
        <v>4517</v>
      </c>
      <c r="C544" s="47" t="s">
        <v>7761</v>
      </c>
      <c r="D544" s="47" t="s">
        <v>8408</v>
      </c>
      <c r="E544" s="47" t="s">
        <v>4512</v>
      </c>
      <c r="F544" s="47" t="s">
        <v>7763</v>
      </c>
      <c r="G544" s="364">
        <v>46205</v>
      </c>
      <c r="H544" s="47" t="s">
        <v>7764</v>
      </c>
      <c r="I544" s="47" t="s">
        <v>7765</v>
      </c>
      <c r="J544" s="47" t="s">
        <v>4512</v>
      </c>
    </row>
    <row r="545" spans="2:10" ht="14.5">
      <c r="B545" s="47" t="s">
        <v>4505</v>
      </c>
      <c r="C545" s="47" t="s">
        <v>64</v>
      </c>
      <c r="D545" s="47" t="s">
        <v>8409</v>
      </c>
      <c r="E545" s="47" t="s">
        <v>4504</v>
      </c>
      <c r="F545" s="47" t="s">
        <v>7763</v>
      </c>
      <c r="G545" s="364">
        <v>46232</v>
      </c>
      <c r="H545" s="47" t="s">
        <v>7764</v>
      </c>
      <c r="I545" s="47" t="s">
        <v>7765</v>
      </c>
      <c r="J545" s="47" t="s">
        <v>4504</v>
      </c>
    </row>
    <row r="546" spans="2:10" ht="14.5">
      <c r="B546" s="47" t="s">
        <v>4497</v>
      </c>
      <c r="C546" s="47" t="s">
        <v>64</v>
      </c>
      <c r="D546" s="47" t="s">
        <v>8410</v>
      </c>
      <c r="E546" s="47" t="s">
        <v>4495</v>
      </c>
      <c r="F546" s="47" t="s">
        <v>7763</v>
      </c>
      <c r="G546" s="364">
        <v>46220</v>
      </c>
      <c r="H546" s="47" t="s">
        <v>7764</v>
      </c>
      <c r="I546" s="47" t="s">
        <v>7765</v>
      </c>
      <c r="J546" s="47" t="s">
        <v>4495</v>
      </c>
    </row>
    <row r="547" spans="2:10" ht="14.5">
      <c r="B547" s="47" t="s">
        <v>8411</v>
      </c>
      <c r="C547" s="47" t="s">
        <v>64</v>
      </c>
      <c r="D547" s="47" t="s">
        <v>8154</v>
      </c>
      <c r="E547" s="47" t="s">
        <v>4545</v>
      </c>
      <c r="F547" s="47" t="s">
        <v>7763</v>
      </c>
      <c r="G547" s="364">
        <v>46244</v>
      </c>
      <c r="H547" s="47" t="s">
        <v>7911</v>
      </c>
      <c r="I547" s="47" t="s">
        <v>7765</v>
      </c>
      <c r="J547" s="47" t="s">
        <v>4545</v>
      </c>
    </row>
    <row r="548" spans="2:10" ht="14.5">
      <c r="B548" s="47" t="s">
        <v>4484</v>
      </c>
      <c r="C548" s="47" t="s">
        <v>64</v>
      </c>
      <c r="D548" s="47" t="s">
        <v>8412</v>
      </c>
      <c r="E548" s="47" t="s">
        <v>4480</v>
      </c>
      <c r="F548" s="47" t="s">
        <v>7763</v>
      </c>
      <c r="G548" s="364">
        <v>46217</v>
      </c>
      <c r="H548" s="47" t="s">
        <v>7764</v>
      </c>
      <c r="I548" s="47" t="s">
        <v>7765</v>
      </c>
      <c r="J548" s="47" t="s">
        <v>4480</v>
      </c>
    </row>
    <row r="549" spans="2:10" ht="14.5">
      <c r="B549" s="47" t="s">
        <v>4476</v>
      </c>
      <c r="C549" s="47" t="s">
        <v>64</v>
      </c>
      <c r="D549" s="47" t="s">
        <v>8413</v>
      </c>
      <c r="E549" s="47" t="s">
        <v>4475</v>
      </c>
      <c r="F549" s="47" t="s">
        <v>7763</v>
      </c>
      <c r="G549" s="364">
        <v>46225</v>
      </c>
      <c r="H549" s="47" t="s">
        <v>7764</v>
      </c>
      <c r="I549" s="47" t="s">
        <v>7765</v>
      </c>
      <c r="J549" s="47" t="s">
        <v>4475</v>
      </c>
    </row>
    <row r="550" spans="2:10" ht="14.5">
      <c r="B550" s="47" t="s">
        <v>4474</v>
      </c>
      <c r="C550" s="47" t="s">
        <v>64</v>
      </c>
      <c r="D550" s="47" t="s">
        <v>8414</v>
      </c>
      <c r="E550" s="47" t="s">
        <v>4473</v>
      </c>
      <c r="F550" s="47" t="s">
        <v>7763</v>
      </c>
      <c r="G550" s="364">
        <v>46217</v>
      </c>
      <c r="H550" s="47" t="s">
        <v>7764</v>
      </c>
      <c r="I550" s="47" t="s">
        <v>7765</v>
      </c>
      <c r="J550" s="47" t="s">
        <v>4473</v>
      </c>
    </row>
    <row r="551" spans="2:10" ht="14.5">
      <c r="B551" s="47" t="s">
        <v>4470</v>
      </c>
      <c r="C551" s="47" t="s">
        <v>64</v>
      </c>
      <c r="D551" s="47" t="s">
        <v>8415</v>
      </c>
      <c r="E551" s="47" t="s">
        <v>4468</v>
      </c>
      <c r="F551" s="47" t="s">
        <v>7763</v>
      </c>
      <c r="G551" s="364">
        <v>46217</v>
      </c>
      <c r="H551" s="47" t="s">
        <v>7764</v>
      </c>
      <c r="I551" s="47" t="s">
        <v>7765</v>
      </c>
      <c r="J551" s="47" t="s">
        <v>4468</v>
      </c>
    </row>
    <row r="552" spans="2:10" ht="14.5">
      <c r="B552" s="47" t="s">
        <v>4464</v>
      </c>
      <c r="C552" s="47" t="s">
        <v>64</v>
      </c>
      <c r="D552" s="47" t="s">
        <v>8416</v>
      </c>
      <c r="E552" s="47" t="s">
        <v>4463</v>
      </c>
      <c r="F552" s="47" t="s">
        <v>7763</v>
      </c>
      <c r="G552" s="364">
        <v>46217</v>
      </c>
      <c r="H552" s="47" t="s">
        <v>7764</v>
      </c>
      <c r="I552" s="47" t="s">
        <v>7765</v>
      </c>
      <c r="J552" s="47" t="s">
        <v>4463</v>
      </c>
    </row>
    <row r="553" spans="2:10" ht="14.5">
      <c r="B553" s="47" t="s">
        <v>4459</v>
      </c>
      <c r="C553" s="47" t="s">
        <v>64</v>
      </c>
      <c r="D553" s="47" t="s">
        <v>8417</v>
      </c>
      <c r="E553" s="47" t="s">
        <v>4458</v>
      </c>
      <c r="F553" s="47" t="s">
        <v>7763</v>
      </c>
      <c r="G553" s="364">
        <v>46216</v>
      </c>
      <c r="H553" s="47" t="s">
        <v>7764</v>
      </c>
      <c r="I553" s="47" t="s">
        <v>7765</v>
      </c>
      <c r="J553" s="47" t="s">
        <v>4458</v>
      </c>
    </row>
    <row r="554" spans="2:10" ht="14.5">
      <c r="B554" s="47" t="s">
        <v>4454</v>
      </c>
      <c r="C554" s="47" t="s">
        <v>64</v>
      </c>
      <c r="D554" s="47" t="s">
        <v>8418</v>
      </c>
      <c r="E554" s="47" t="s">
        <v>4453</v>
      </c>
      <c r="F554" s="47" t="s">
        <v>7763</v>
      </c>
      <c r="G554" s="364">
        <v>46239</v>
      </c>
      <c r="H554" s="47" t="s">
        <v>7764</v>
      </c>
      <c r="I554" s="47" t="s">
        <v>7765</v>
      </c>
      <c r="J554" s="47" t="s">
        <v>4453</v>
      </c>
    </row>
    <row r="555" spans="2:10" ht="14.5">
      <c r="B555" s="47" t="s">
        <v>4452</v>
      </c>
      <c r="C555" s="47" t="s">
        <v>64</v>
      </c>
      <c r="D555" s="47" t="s">
        <v>8419</v>
      </c>
      <c r="E555" s="47" t="s">
        <v>4451</v>
      </c>
      <c r="F555" s="47" t="s">
        <v>7763</v>
      </c>
      <c r="G555" s="364">
        <v>46239</v>
      </c>
      <c r="H555" s="47" t="s">
        <v>7764</v>
      </c>
      <c r="I555" s="47" t="s">
        <v>7765</v>
      </c>
      <c r="J555" s="47" t="s">
        <v>4451</v>
      </c>
    </row>
    <row r="556" spans="2:10" ht="14.5">
      <c r="B556" s="47" t="s">
        <v>4446</v>
      </c>
      <c r="C556" s="47" t="s">
        <v>64</v>
      </c>
      <c r="D556" s="47" t="s">
        <v>8420</v>
      </c>
      <c r="E556" s="47" t="s">
        <v>4444</v>
      </c>
      <c r="F556" s="47" t="s">
        <v>7763</v>
      </c>
      <c r="G556" s="364">
        <v>46239</v>
      </c>
      <c r="H556" s="47" t="s">
        <v>7764</v>
      </c>
      <c r="I556" s="47" t="s">
        <v>7765</v>
      </c>
      <c r="J556" s="47" t="s">
        <v>4444</v>
      </c>
    </row>
    <row r="557" spans="2:10" ht="14.5">
      <c r="B557" s="47" t="s">
        <v>1388</v>
      </c>
      <c r="C557" s="47" t="s">
        <v>64</v>
      </c>
      <c r="D557" s="47" t="s">
        <v>8421</v>
      </c>
      <c r="E557" s="47"/>
      <c r="F557" s="47" t="s">
        <v>7763</v>
      </c>
      <c r="G557" s="364">
        <v>46154</v>
      </c>
      <c r="H557" s="47" t="s">
        <v>7764</v>
      </c>
      <c r="I557" s="47" t="s">
        <v>7765</v>
      </c>
      <c r="J557" s="47" t="s">
        <v>8422</v>
      </c>
    </row>
    <row r="558" spans="2:10" ht="14.5">
      <c r="B558" s="47" t="s">
        <v>2130</v>
      </c>
      <c r="C558" s="47" t="s">
        <v>7761</v>
      </c>
      <c r="D558" s="47" t="s">
        <v>8423</v>
      </c>
      <c r="E558" s="47"/>
      <c r="F558" s="47" t="s">
        <v>7763</v>
      </c>
      <c r="G558" s="364">
        <v>46178</v>
      </c>
      <c r="H558" s="47" t="s">
        <v>7764</v>
      </c>
      <c r="I558" s="47" t="s">
        <v>7765</v>
      </c>
      <c r="J558" s="47" t="s">
        <v>8424</v>
      </c>
    </row>
    <row r="559" spans="2:10" ht="14.5">
      <c r="B559" s="47" t="s">
        <v>2126</v>
      </c>
      <c r="C559" s="47" t="s">
        <v>7761</v>
      </c>
      <c r="D559" s="47" t="s">
        <v>8425</v>
      </c>
      <c r="E559" s="47"/>
      <c r="F559" s="47" t="s">
        <v>7763</v>
      </c>
      <c r="G559" s="364">
        <v>46178</v>
      </c>
      <c r="H559" s="47" t="s">
        <v>7764</v>
      </c>
      <c r="I559" s="47" t="s">
        <v>7765</v>
      </c>
      <c r="J559" s="47" t="s">
        <v>8426</v>
      </c>
    </row>
    <row r="560" spans="2:10" ht="14.5">
      <c r="B560" s="47" t="s">
        <v>2119</v>
      </c>
      <c r="C560" s="47" t="s">
        <v>64</v>
      </c>
      <c r="D560" s="47" t="s">
        <v>8425</v>
      </c>
      <c r="E560" s="47"/>
      <c r="F560" s="47" t="s">
        <v>7763</v>
      </c>
      <c r="G560" s="364">
        <v>46195</v>
      </c>
      <c r="H560" s="47" t="s">
        <v>7764</v>
      </c>
      <c r="I560" s="47" t="s">
        <v>7765</v>
      </c>
      <c r="J560" s="47" t="s">
        <v>8426</v>
      </c>
    </row>
    <row r="561" spans="2:10" ht="14.5">
      <c r="B561" s="47" t="s">
        <v>2446</v>
      </c>
      <c r="C561" s="47" t="s">
        <v>64</v>
      </c>
      <c r="D561" s="47" t="s">
        <v>8427</v>
      </c>
      <c r="E561" s="47" t="s">
        <v>2444</v>
      </c>
      <c r="F561" s="47" t="s">
        <v>7763</v>
      </c>
      <c r="G561" s="364">
        <v>46219</v>
      </c>
      <c r="H561" s="47" t="s">
        <v>7764</v>
      </c>
      <c r="I561" s="47" t="s">
        <v>7765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8428</v>
      </c>
      <c r="E562" s="47" t="s">
        <v>2437</v>
      </c>
      <c r="F562" s="47" t="s">
        <v>7763</v>
      </c>
      <c r="G562" s="364">
        <v>46219</v>
      </c>
      <c r="H562" s="47" t="s">
        <v>7764</v>
      </c>
      <c r="I562" s="47" t="s">
        <v>7765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8429</v>
      </c>
      <c r="E563" s="47" t="s">
        <v>2447</v>
      </c>
      <c r="F563" s="47" t="s">
        <v>7763</v>
      </c>
      <c r="G563" s="364">
        <v>46217</v>
      </c>
      <c r="H563" s="47" t="s">
        <v>7764</v>
      </c>
      <c r="I563" s="47" t="s">
        <v>7765</v>
      </c>
      <c r="J563" s="47" t="s">
        <v>2447</v>
      </c>
    </row>
    <row r="564" spans="2:10" ht="14.5">
      <c r="B564" s="47" t="s">
        <v>4433</v>
      </c>
      <c r="C564" s="47" t="s">
        <v>64</v>
      </c>
      <c r="D564" s="47" t="s">
        <v>8430</v>
      </c>
      <c r="E564" s="47" t="s">
        <v>4432</v>
      </c>
      <c r="F564" s="47" t="s">
        <v>7763</v>
      </c>
      <c r="G564" s="364">
        <v>46225</v>
      </c>
      <c r="H564" s="47" t="s">
        <v>7764</v>
      </c>
      <c r="I564" s="47" t="s">
        <v>7765</v>
      </c>
      <c r="J564" s="47" t="s">
        <v>4432</v>
      </c>
    </row>
    <row r="565" spans="2:10" ht="14.5">
      <c r="B565" s="47" t="s">
        <v>4425</v>
      </c>
      <c r="C565" s="47" t="s">
        <v>64</v>
      </c>
      <c r="D565" s="47" t="s">
        <v>8431</v>
      </c>
      <c r="E565" s="47" t="s">
        <v>4424</v>
      </c>
      <c r="F565" s="47" t="s">
        <v>7763</v>
      </c>
      <c r="G565" s="364">
        <v>46217</v>
      </c>
      <c r="H565" s="47" t="s">
        <v>7764</v>
      </c>
      <c r="I565" s="47" t="s">
        <v>7765</v>
      </c>
      <c r="J565" s="47" t="s">
        <v>4424</v>
      </c>
    </row>
    <row r="566" spans="2:10" ht="14.5">
      <c r="B566" s="47" t="s">
        <v>4429</v>
      </c>
      <c r="C566" s="47" t="s">
        <v>64</v>
      </c>
      <c r="D566" s="47" t="s">
        <v>8432</v>
      </c>
      <c r="E566" s="47" t="s">
        <v>4428</v>
      </c>
      <c r="F566" s="47" t="s">
        <v>7763</v>
      </c>
      <c r="G566" s="364">
        <v>46230</v>
      </c>
      <c r="H566" s="47" t="s">
        <v>7764</v>
      </c>
      <c r="I566" s="47" t="s">
        <v>7765</v>
      </c>
      <c r="J566" s="47" t="s">
        <v>4428</v>
      </c>
    </row>
    <row r="567" spans="2:10" ht="14.5">
      <c r="B567" s="47" t="s">
        <v>4437</v>
      </c>
      <c r="C567" s="47" t="s">
        <v>64</v>
      </c>
      <c r="D567" s="47" t="s">
        <v>8433</v>
      </c>
      <c r="E567" s="47" t="s">
        <v>4436</v>
      </c>
      <c r="F567" s="47" t="s">
        <v>7763</v>
      </c>
      <c r="G567" s="364">
        <v>46218</v>
      </c>
      <c r="H567" s="47" t="s">
        <v>7764</v>
      </c>
      <c r="I567" s="47" t="s">
        <v>7765</v>
      </c>
      <c r="J567" s="47" t="s">
        <v>4436</v>
      </c>
    </row>
    <row r="568" spans="2:10" ht="14.5">
      <c r="B568" s="47" t="s">
        <v>2409</v>
      </c>
      <c r="C568" s="47" t="s">
        <v>7761</v>
      </c>
      <c r="D568" s="47" t="s">
        <v>8434</v>
      </c>
      <c r="E568" s="47" t="s">
        <v>2407</v>
      </c>
      <c r="F568" s="47" t="s">
        <v>7763</v>
      </c>
      <c r="G568" s="364">
        <v>46191</v>
      </c>
      <c r="H568" s="47" t="s">
        <v>7764</v>
      </c>
      <c r="I568" s="47" t="s">
        <v>7765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8435</v>
      </c>
      <c r="E569" s="47" t="s">
        <v>2421</v>
      </c>
      <c r="F569" s="47" t="s">
        <v>7763</v>
      </c>
      <c r="G569" s="364">
        <v>46211</v>
      </c>
      <c r="H569" s="47" t="s">
        <v>7764</v>
      </c>
      <c r="I569" s="47" t="s">
        <v>7765</v>
      </c>
      <c r="J569" s="47" t="s">
        <v>2421</v>
      </c>
    </row>
    <row r="570" spans="2:10" ht="14.5">
      <c r="B570" s="47" t="s">
        <v>4420</v>
      </c>
      <c r="C570" s="47" t="s">
        <v>64</v>
      </c>
      <c r="D570" s="47" t="s">
        <v>8436</v>
      </c>
      <c r="E570" s="47" t="s">
        <v>4419</v>
      </c>
      <c r="F570" s="47" t="s">
        <v>7763</v>
      </c>
      <c r="G570" s="364">
        <v>46223</v>
      </c>
      <c r="H570" s="47" t="s">
        <v>7764</v>
      </c>
      <c r="I570" s="47" t="s">
        <v>7765</v>
      </c>
      <c r="J570" s="47" t="s">
        <v>4419</v>
      </c>
    </row>
    <row r="571" spans="2:10" ht="14.5">
      <c r="B571" s="47" t="s">
        <v>4441</v>
      </c>
      <c r="C571" s="47" t="s">
        <v>64</v>
      </c>
      <c r="D571" s="47" t="s">
        <v>8437</v>
      </c>
      <c r="E571" s="47" t="s">
        <v>4440</v>
      </c>
      <c r="F571" s="47" t="s">
        <v>7763</v>
      </c>
      <c r="G571" s="364">
        <v>46218</v>
      </c>
      <c r="H571" s="47" t="s">
        <v>7764</v>
      </c>
      <c r="I571" s="47" t="s">
        <v>7765</v>
      </c>
      <c r="J571" s="47" t="s">
        <v>4440</v>
      </c>
    </row>
    <row r="572" spans="2:10" ht="14.5">
      <c r="B572" s="47" t="s">
        <v>7249</v>
      </c>
      <c r="C572" s="47" t="s">
        <v>64</v>
      </c>
      <c r="D572" s="47" t="s">
        <v>8438</v>
      </c>
      <c r="E572" s="47" t="s">
        <v>8439</v>
      </c>
      <c r="F572" s="47" t="s">
        <v>7810</v>
      </c>
      <c r="G572" s="364">
        <v>46196</v>
      </c>
      <c r="H572" s="47" t="s">
        <v>7764</v>
      </c>
      <c r="I572" s="47" t="s">
        <v>7765</v>
      </c>
      <c r="J572" s="47" t="s">
        <v>7247</v>
      </c>
    </row>
    <row r="573" spans="2:10" ht="14.5">
      <c r="B573" s="47" t="s">
        <v>8440</v>
      </c>
      <c r="C573" s="47" t="s">
        <v>64</v>
      </c>
      <c r="D573" s="47" t="s">
        <v>8441</v>
      </c>
      <c r="E573" s="47" t="s">
        <v>8442</v>
      </c>
      <c r="F573" s="47" t="s">
        <v>7810</v>
      </c>
      <c r="G573" s="364">
        <v>46191</v>
      </c>
      <c r="H573" s="47" t="s">
        <v>7764</v>
      </c>
      <c r="I573" s="47" t="s">
        <v>7765</v>
      </c>
      <c r="J573" s="47" t="s">
        <v>7253</v>
      </c>
    </row>
    <row r="574" spans="2:10" ht="14.5">
      <c r="B574" s="47" t="s">
        <v>2311</v>
      </c>
      <c r="C574" s="47" t="s">
        <v>64</v>
      </c>
      <c r="D574" s="47" t="s">
        <v>8443</v>
      </c>
      <c r="E574" s="47" t="s">
        <v>2310</v>
      </c>
      <c r="F574" s="47" t="s">
        <v>7763</v>
      </c>
      <c r="G574" s="364">
        <v>46231</v>
      </c>
      <c r="H574" s="47" t="s">
        <v>7764</v>
      </c>
      <c r="I574" s="47" t="s">
        <v>7765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8444</v>
      </c>
      <c r="E575" s="47" t="s">
        <v>2316</v>
      </c>
      <c r="F575" s="47" t="s">
        <v>7763</v>
      </c>
      <c r="G575" s="364">
        <v>46231</v>
      </c>
      <c r="H575" s="47" t="s">
        <v>7764</v>
      </c>
      <c r="I575" s="47" t="s">
        <v>7765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8445</v>
      </c>
      <c r="E576" s="47" t="s">
        <v>2318</v>
      </c>
      <c r="F576" s="47" t="s">
        <v>7763</v>
      </c>
      <c r="G576" s="364">
        <v>46198</v>
      </c>
      <c r="H576" s="47" t="s">
        <v>7764</v>
      </c>
      <c r="I576" s="47" t="s">
        <v>7765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8446</v>
      </c>
      <c r="E577" s="47" t="s">
        <v>1016</v>
      </c>
      <c r="F577" s="47" t="s">
        <v>7763</v>
      </c>
      <c r="G577" s="364">
        <v>46213</v>
      </c>
      <c r="H577" s="47" t="s">
        <v>7764</v>
      </c>
      <c r="I577" s="47" t="s">
        <v>7765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8447</v>
      </c>
      <c r="E578" s="47" t="s">
        <v>2327</v>
      </c>
      <c r="F578" s="47" t="s">
        <v>7763</v>
      </c>
      <c r="G578" s="364">
        <v>46213</v>
      </c>
      <c r="H578" s="47" t="s">
        <v>7764</v>
      </c>
      <c r="I578" s="47" t="s">
        <v>7765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8448</v>
      </c>
      <c r="E579" s="47" t="s">
        <v>2342</v>
      </c>
      <c r="F579" s="47" t="s">
        <v>7763</v>
      </c>
      <c r="G579" s="364">
        <v>46209</v>
      </c>
      <c r="H579" s="47" t="s">
        <v>7764</v>
      </c>
      <c r="I579" s="47" t="s">
        <v>7765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8449</v>
      </c>
      <c r="E580" s="47" t="s">
        <v>2332</v>
      </c>
      <c r="F580" s="47" t="s">
        <v>7763</v>
      </c>
      <c r="G580" s="364">
        <v>46213</v>
      </c>
      <c r="H580" s="47" t="s">
        <v>7764</v>
      </c>
      <c r="I580" s="47" t="s">
        <v>7765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8450</v>
      </c>
      <c r="E581" s="47" t="s">
        <v>2356</v>
      </c>
      <c r="F581" s="47" t="s">
        <v>7763</v>
      </c>
      <c r="G581" s="364">
        <v>46219</v>
      </c>
      <c r="H581" s="47" t="s">
        <v>7764</v>
      </c>
      <c r="I581" s="47" t="s">
        <v>7765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8451</v>
      </c>
      <c r="E582" s="47" t="s">
        <v>2362</v>
      </c>
      <c r="F582" s="47" t="s">
        <v>7763</v>
      </c>
      <c r="G582" s="364">
        <v>46206</v>
      </c>
      <c r="H582" s="47" t="s">
        <v>7764</v>
      </c>
      <c r="I582" s="47" t="s">
        <v>7765</v>
      </c>
      <c r="J582" s="47" t="s">
        <v>2362</v>
      </c>
    </row>
    <row r="583" spans="2:10" ht="14.5">
      <c r="B583" s="47" t="s">
        <v>2390</v>
      </c>
      <c r="C583" s="47" t="s">
        <v>7761</v>
      </c>
      <c r="D583" s="47" t="s">
        <v>8452</v>
      </c>
      <c r="E583" s="47" t="s">
        <v>2387</v>
      </c>
      <c r="F583" s="47" t="s">
        <v>7763</v>
      </c>
      <c r="G583" s="364">
        <v>46204</v>
      </c>
      <c r="H583" s="47" t="s">
        <v>7764</v>
      </c>
      <c r="I583" s="47" t="s">
        <v>7765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8453</v>
      </c>
      <c r="E584" s="47" t="s">
        <v>2366</v>
      </c>
      <c r="F584" s="47" t="s">
        <v>7763</v>
      </c>
      <c r="G584" s="364">
        <v>46216</v>
      </c>
      <c r="H584" s="47" t="s">
        <v>7764</v>
      </c>
      <c r="I584" s="47" t="s">
        <v>7765</v>
      </c>
      <c r="J584" s="47" t="s">
        <v>8454</v>
      </c>
    </row>
    <row r="585" spans="2:10" ht="14.5">
      <c r="B585" s="47" t="s">
        <v>8455</v>
      </c>
      <c r="C585" s="47" t="s">
        <v>64</v>
      </c>
      <c r="D585" s="47" t="s">
        <v>8156</v>
      </c>
      <c r="E585" s="47" t="s">
        <v>8456</v>
      </c>
      <c r="F585" s="47" t="s">
        <v>7763</v>
      </c>
      <c r="G585" s="364">
        <v>46223</v>
      </c>
      <c r="H585" s="47" t="s">
        <v>7911</v>
      </c>
      <c r="I585" s="47" t="s">
        <v>7765</v>
      </c>
      <c r="J585" s="47" t="s">
        <v>8456</v>
      </c>
    </row>
    <row r="586" spans="2:10" ht="14.5">
      <c r="B586" s="47" t="s">
        <v>2374</v>
      </c>
      <c r="C586" s="47" t="s">
        <v>64</v>
      </c>
      <c r="D586" s="47" t="s">
        <v>8457</v>
      </c>
      <c r="E586" s="47" t="s">
        <v>2371</v>
      </c>
      <c r="F586" s="47" t="s">
        <v>7763</v>
      </c>
      <c r="G586" s="364">
        <v>46211</v>
      </c>
      <c r="H586" s="47" t="s">
        <v>7764</v>
      </c>
      <c r="I586" s="47" t="s">
        <v>7765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8458</v>
      </c>
      <c r="E587" s="47" t="s">
        <v>2296</v>
      </c>
      <c r="F587" s="47" t="s">
        <v>7763</v>
      </c>
      <c r="G587" s="364">
        <v>46231</v>
      </c>
      <c r="H587" s="47" t="s">
        <v>7764</v>
      </c>
      <c r="I587" s="47" t="s">
        <v>7765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8459</v>
      </c>
      <c r="E588" s="47" t="s">
        <v>2306</v>
      </c>
      <c r="F588" s="47" t="s">
        <v>7763</v>
      </c>
      <c r="G588" s="364">
        <v>46231</v>
      </c>
      <c r="H588" s="47" t="s">
        <v>7764</v>
      </c>
      <c r="I588" s="47" t="s">
        <v>7765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8460</v>
      </c>
      <c r="E589" s="47" t="s">
        <v>2334</v>
      </c>
      <c r="F589" s="47" t="s">
        <v>7763</v>
      </c>
      <c r="G589" s="364">
        <v>46213</v>
      </c>
      <c r="H589" s="47" t="s">
        <v>7764</v>
      </c>
      <c r="I589" s="47" t="s">
        <v>7765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8461</v>
      </c>
      <c r="E590" s="47" t="s">
        <v>2340</v>
      </c>
      <c r="F590" s="47" t="s">
        <v>7763</v>
      </c>
      <c r="G590" s="364">
        <v>46213</v>
      </c>
      <c r="H590" s="47" t="s">
        <v>7764</v>
      </c>
      <c r="I590" s="47" t="s">
        <v>7765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8462</v>
      </c>
      <c r="E591" s="47" t="s">
        <v>2338</v>
      </c>
      <c r="F591" s="47" t="s">
        <v>7763</v>
      </c>
      <c r="G591" s="364">
        <v>46213</v>
      </c>
      <c r="H591" s="47" t="s">
        <v>7764</v>
      </c>
      <c r="I591" s="47" t="s">
        <v>7765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8463</v>
      </c>
      <c r="E592" s="47" t="s">
        <v>2348</v>
      </c>
      <c r="F592" s="47" t="s">
        <v>7763</v>
      </c>
      <c r="G592" s="364">
        <v>46212</v>
      </c>
      <c r="H592" s="47" t="s">
        <v>7764</v>
      </c>
      <c r="I592" s="47" t="s">
        <v>7765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8464</v>
      </c>
      <c r="E593" s="47" t="s">
        <v>2354</v>
      </c>
      <c r="F593" s="47" t="s">
        <v>7763</v>
      </c>
      <c r="G593" s="364">
        <v>46212</v>
      </c>
      <c r="H593" s="47" t="s">
        <v>7764</v>
      </c>
      <c r="I593" s="47" t="s">
        <v>7765</v>
      </c>
      <c r="J593" s="47" t="s">
        <v>2354</v>
      </c>
    </row>
    <row r="594" spans="2:10" ht="14.5">
      <c r="B594" s="47" t="s">
        <v>2397</v>
      </c>
      <c r="C594" s="47" t="s">
        <v>7761</v>
      </c>
      <c r="D594" s="47" t="s">
        <v>8465</v>
      </c>
      <c r="E594" s="47" t="s">
        <v>2393</v>
      </c>
      <c r="F594" s="47" t="s">
        <v>7763</v>
      </c>
      <c r="G594" s="364">
        <v>46203</v>
      </c>
      <c r="H594" s="47" t="s">
        <v>7764</v>
      </c>
      <c r="I594" s="47" t="s">
        <v>7765</v>
      </c>
      <c r="J594" s="47" t="s">
        <v>2393</v>
      </c>
    </row>
    <row r="595" spans="2:10" ht="14.5">
      <c r="B595" s="47" t="s">
        <v>2403</v>
      </c>
      <c r="C595" s="47" t="s">
        <v>7761</v>
      </c>
      <c r="D595" s="47" t="s">
        <v>8466</v>
      </c>
      <c r="E595" s="47" t="s">
        <v>2402</v>
      </c>
      <c r="F595" s="47" t="s">
        <v>7763</v>
      </c>
      <c r="G595" s="364">
        <v>46203</v>
      </c>
      <c r="H595" s="47" t="s">
        <v>7764</v>
      </c>
      <c r="I595" s="47" t="s">
        <v>7765</v>
      </c>
      <c r="J595" s="47" t="s">
        <v>2402</v>
      </c>
    </row>
    <row r="596" spans="2:10" ht="14.5">
      <c r="B596" s="47" t="s">
        <v>8467</v>
      </c>
      <c r="C596" s="47" t="s">
        <v>64</v>
      </c>
      <c r="D596" s="47" t="s">
        <v>8468</v>
      </c>
      <c r="E596" s="47" t="s">
        <v>8469</v>
      </c>
      <c r="F596" s="47" t="s">
        <v>7810</v>
      </c>
      <c r="G596" s="364">
        <v>46173</v>
      </c>
      <c r="H596" s="47" t="s">
        <v>7764</v>
      </c>
      <c r="I596" s="47" t="s">
        <v>7765</v>
      </c>
      <c r="J596" s="47" t="s">
        <v>8469</v>
      </c>
    </row>
    <row r="597" spans="2:10" ht="14.5">
      <c r="B597" s="47" t="s">
        <v>2060</v>
      </c>
      <c r="C597" s="47" t="s">
        <v>7761</v>
      </c>
      <c r="D597" s="47" t="s">
        <v>8470</v>
      </c>
      <c r="E597" s="47"/>
      <c r="F597" s="47" t="s">
        <v>7763</v>
      </c>
      <c r="G597" s="364">
        <v>46184</v>
      </c>
      <c r="H597" s="47" t="s">
        <v>7764</v>
      </c>
      <c r="I597" s="47" t="s">
        <v>7765</v>
      </c>
      <c r="J597" s="47" t="s">
        <v>8471</v>
      </c>
    </row>
    <row r="598" spans="2:10" ht="14.5">
      <c r="B598" s="47" t="s">
        <v>2055</v>
      </c>
      <c r="C598" s="47" t="s">
        <v>7761</v>
      </c>
      <c r="D598" s="47" t="s">
        <v>8472</v>
      </c>
      <c r="E598" s="47"/>
      <c r="F598" s="47" t="s">
        <v>7763</v>
      </c>
      <c r="G598" s="364">
        <v>46168</v>
      </c>
      <c r="H598" s="47" t="s">
        <v>7764</v>
      </c>
      <c r="I598" s="47" t="s">
        <v>7765</v>
      </c>
      <c r="J598" s="47" t="s">
        <v>8473</v>
      </c>
    </row>
    <row r="599" spans="2:10" ht="14.5">
      <c r="B599" s="47" t="s">
        <v>1874</v>
      </c>
      <c r="C599" s="47" t="s">
        <v>64</v>
      </c>
      <c r="D599" s="47" t="s">
        <v>8474</v>
      </c>
      <c r="E599" s="47"/>
      <c r="F599" s="47" t="s">
        <v>7763</v>
      </c>
      <c r="G599" s="364">
        <v>46173</v>
      </c>
      <c r="H599" s="47" t="s">
        <v>7764</v>
      </c>
      <c r="I599" s="47" t="s">
        <v>7765</v>
      </c>
      <c r="J599" s="47" t="s">
        <v>8475</v>
      </c>
    </row>
    <row r="600" spans="2:10" ht="14.5">
      <c r="B600" s="47" t="s">
        <v>1872</v>
      </c>
      <c r="C600" s="47" t="s">
        <v>7761</v>
      </c>
      <c r="D600" s="47" t="s">
        <v>8474</v>
      </c>
      <c r="E600" s="47"/>
      <c r="F600" s="47" t="s">
        <v>7763</v>
      </c>
      <c r="G600" s="364">
        <v>46167</v>
      </c>
      <c r="H600" s="47" t="s">
        <v>7764</v>
      </c>
      <c r="I600" s="47" t="s">
        <v>7765</v>
      </c>
      <c r="J600" s="47" t="s">
        <v>8476</v>
      </c>
    </row>
    <row r="601" spans="2:10" ht="14.5">
      <c r="B601" s="47" t="s">
        <v>1869</v>
      </c>
      <c r="C601" s="47" t="s">
        <v>7761</v>
      </c>
      <c r="D601" s="47" t="s">
        <v>8477</v>
      </c>
      <c r="E601" s="47"/>
      <c r="F601" s="47" t="s">
        <v>7763</v>
      </c>
      <c r="G601" s="364">
        <v>46139</v>
      </c>
      <c r="H601" s="47" t="s">
        <v>7764</v>
      </c>
      <c r="I601" s="47" t="s">
        <v>7765</v>
      </c>
      <c r="J601" s="47" t="s">
        <v>8478</v>
      </c>
    </row>
    <row r="602" spans="2:10" ht="14.5">
      <c r="B602" s="47" t="s">
        <v>1277</v>
      </c>
      <c r="C602" s="47" t="s">
        <v>7761</v>
      </c>
      <c r="D602" s="47" t="s">
        <v>8421</v>
      </c>
      <c r="E602" s="47"/>
      <c r="F602" s="47" t="s">
        <v>7763</v>
      </c>
      <c r="G602" s="364">
        <v>46146</v>
      </c>
      <c r="H602" s="47" t="s">
        <v>7764</v>
      </c>
      <c r="I602" s="47" t="s">
        <v>7765</v>
      </c>
      <c r="J602" s="47" t="s">
        <v>8479</v>
      </c>
    </row>
    <row r="603" spans="2:10" ht="14.5">
      <c r="B603" s="47" t="s">
        <v>1265</v>
      </c>
      <c r="C603" s="47" t="s">
        <v>7761</v>
      </c>
      <c r="D603" s="47" t="s">
        <v>8480</v>
      </c>
      <c r="E603" s="47"/>
      <c r="F603" s="47" t="s">
        <v>7763</v>
      </c>
      <c r="G603" s="364">
        <v>46146</v>
      </c>
      <c r="H603" s="47" t="s">
        <v>7764</v>
      </c>
      <c r="I603" s="47" t="s">
        <v>7765</v>
      </c>
      <c r="J603" s="47" t="s">
        <v>8481</v>
      </c>
    </row>
    <row r="604" spans="2:10" ht="14.5">
      <c r="B604" s="47" t="s">
        <v>1457</v>
      </c>
      <c r="C604" s="47" t="s">
        <v>7761</v>
      </c>
      <c r="D604" s="47" t="s">
        <v>8482</v>
      </c>
      <c r="E604" s="47"/>
      <c r="F604" s="47" t="s">
        <v>7763</v>
      </c>
      <c r="G604" s="364">
        <v>46164</v>
      </c>
      <c r="H604" s="47" t="s">
        <v>7764</v>
      </c>
      <c r="I604" s="47" t="s">
        <v>7765</v>
      </c>
      <c r="J604" s="47" t="s">
        <v>8483</v>
      </c>
    </row>
    <row r="605" spans="2:10" ht="14.5">
      <c r="B605" s="47" t="s">
        <v>1452</v>
      </c>
      <c r="C605" s="47" t="s">
        <v>7761</v>
      </c>
      <c r="D605" s="47" t="s">
        <v>8484</v>
      </c>
      <c r="E605" s="47"/>
      <c r="F605" s="47" t="s">
        <v>7763</v>
      </c>
      <c r="G605" s="364">
        <v>46139</v>
      </c>
      <c r="H605" s="47" t="s">
        <v>7764</v>
      </c>
      <c r="I605" s="47" t="s">
        <v>7765</v>
      </c>
      <c r="J605" s="47" t="s">
        <v>8485</v>
      </c>
    </row>
    <row r="606" spans="2:10" ht="14.5">
      <c r="B606" s="47" t="s">
        <v>2213</v>
      </c>
      <c r="C606" s="47" t="s">
        <v>64</v>
      </c>
      <c r="D606" s="47" t="s">
        <v>8486</v>
      </c>
      <c r="E606" s="47" t="s">
        <v>2211</v>
      </c>
      <c r="F606" s="47" t="s">
        <v>7763</v>
      </c>
      <c r="G606" s="364">
        <v>46199</v>
      </c>
      <c r="H606" s="47" t="s">
        <v>7764</v>
      </c>
      <c r="I606" s="47" t="s">
        <v>7765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8487</v>
      </c>
      <c r="E607" s="47" t="s">
        <v>2216</v>
      </c>
      <c r="F607" s="47" t="s">
        <v>7763</v>
      </c>
      <c r="G607" s="364">
        <v>46212</v>
      </c>
      <c r="H607" s="47" t="s">
        <v>7764</v>
      </c>
      <c r="I607" s="47" t="s">
        <v>7765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8488</v>
      </c>
      <c r="E608" s="47" t="s">
        <v>2221</v>
      </c>
      <c r="F608" s="47" t="s">
        <v>7763</v>
      </c>
      <c r="G608" s="364">
        <v>46191</v>
      </c>
      <c r="H608" s="47" t="s">
        <v>7764</v>
      </c>
      <c r="I608" s="47" t="s">
        <v>7765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8489</v>
      </c>
      <c r="E609" s="47"/>
      <c r="F609" s="47" t="s">
        <v>7763</v>
      </c>
      <c r="G609" s="364">
        <v>46196</v>
      </c>
      <c r="H609" s="47" t="s">
        <v>7764</v>
      </c>
      <c r="I609" s="47" t="s">
        <v>7765</v>
      </c>
      <c r="J609" s="47" t="s">
        <v>8490</v>
      </c>
    </row>
    <row r="610" spans="2:10" ht="14.5">
      <c r="B610" s="47" t="s">
        <v>2184</v>
      </c>
      <c r="C610" s="47" t="s">
        <v>64</v>
      </c>
      <c r="D610" s="47" t="s">
        <v>8491</v>
      </c>
      <c r="E610" s="47" t="s">
        <v>2182</v>
      </c>
      <c r="F610" s="47" t="s">
        <v>7763</v>
      </c>
      <c r="G610" s="364">
        <v>46192</v>
      </c>
      <c r="H610" s="47" t="s">
        <v>7764</v>
      </c>
      <c r="I610" s="47" t="s">
        <v>7765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8492</v>
      </c>
      <c r="E611" s="47" t="s">
        <v>2187</v>
      </c>
      <c r="F611" s="47" t="s">
        <v>7763</v>
      </c>
      <c r="G611" s="364">
        <v>46192</v>
      </c>
      <c r="H611" s="47" t="s">
        <v>7764</v>
      </c>
      <c r="I611" s="47" t="s">
        <v>7765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8493</v>
      </c>
      <c r="E612" s="47" t="s">
        <v>2230</v>
      </c>
      <c r="F612" s="47" t="s">
        <v>7763</v>
      </c>
      <c r="G612" s="364">
        <v>46209</v>
      </c>
      <c r="H612" s="47" t="s">
        <v>7764</v>
      </c>
      <c r="I612" s="47" t="s">
        <v>7765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8494</v>
      </c>
      <c r="E613" s="47" t="s">
        <v>2235</v>
      </c>
      <c r="F613" s="47" t="s">
        <v>7763</v>
      </c>
      <c r="G613" s="364">
        <v>46210</v>
      </c>
      <c r="H613" s="47" t="s">
        <v>7764</v>
      </c>
      <c r="I613" s="47" t="s">
        <v>7765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8495</v>
      </c>
      <c r="E614" s="47" t="s">
        <v>2239</v>
      </c>
      <c r="F614" s="47" t="s">
        <v>7763</v>
      </c>
      <c r="G614" s="364">
        <v>46210</v>
      </c>
      <c r="H614" s="47" t="s">
        <v>7764</v>
      </c>
      <c r="I614" s="47" t="s">
        <v>7765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8496</v>
      </c>
      <c r="E615" s="47" t="s">
        <v>2237</v>
      </c>
      <c r="F615" s="47" t="s">
        <v>7763</v>
      </c>
      <c r="G615" s="364">
        <v>46210</v>
      </c>
      <c r="H615" s="47" t="s">
        <v>7764</v>
      </c>
      <c r="I615" s="47" t="s">
        <v>7765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8497</v>
      </c>
      <c r="E616" s="47" t="s">
        <v>2241</v>
      </c>
      <c r="F616" s="47" t="s">
        <v>7763</v>
      </c>
      <c r="G616" s="364">
        <v>46210</v>
      </c>
      <c r="H616" s="47" t="s">
        <v>7764</v>
      </c>
      <c r="I616" s="47" t="s">
        <v>7765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8498</v>
      </c>
      <c r="E617" s="47" t="s">
        <v>2243</v>
      </c>
      <c r="F617" s="47" t="s">
        <v>7763</v>
      </c>
      <c r="G617" s="364">
        <v>46210</v>
      </c>
      <c r="H617" s="47" t="s">
        <v>7764</v>
      </c>
      <c r="I617" s="47" t="s">
        <v>7765</v>
      </c>
      <c r="J617" s="47" t="s">
        <v>2243</v>
      </c>
    </row>
    <row r="618" spans="2:10" ht="14.5">
      <c r="B618" s="47" t="s">
        <v>8499</v>
      </c>
      <c r="C618" s="47" t="s">
        <v>64</v>
      </c>
      <c r="D618" s="47" t="s">
        <v>8177</v>
      </c>
      <c r="E618" s="47" t="s">
        <v>2286</v>
      </c>
      <c r="F618" s="47" t="s">
        <v>7763</v>
      </c>
      <c r="G618" s="364">
        <v>46212</v>
      </c>
      <c r="H618" s="47" t="s">
        <v>7911</v>
      </c>
      <c r="I618" s="47" t="s">
        <v>7765</v>
      </c>
      <c r="J618" s="47" t="s">
        <v>8500</v>
      </c>
    </row>
    <row r="619" spans="2:10" ht="14.5">
      <c r="B619" s="47" t="s">
        <v>2280</v>
      </c>
      <c r="C619" s="47" t="s">
        <v>64</v>
      </c>
      <c r="D619" s="47" t="s">
        <v>8501</v>
      </c>
      <c r="E619" s="47" t="s">
        <v>2279</v>
      </c>
      <c r="F619" s="47" t="s">
        <v>7763</v>
      </c>
      <c r="G619" s="364">
        <v>46213</v>
      </c>
      <c r="H619" s="47" t="s">
        <v>7764</v>
      </c>
      <c r="I619" s="47" t="s">
        <v>7765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8502</v>
      </c>
      <c r="E620" s="47" t="s">
        <v>2267</v>
      </c>
      <c r="F620" s="47" t="s">
        <v>7763</v>
      </c>
      <c r="G620" s="364">
        <v>46202</v>
      </c>
      <c r="H620" s="47" t="s">
        <v>7764</v>
      </c>
      <c r="I620" s="47" t="s">
        <v>7765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8503</v>
      </c>
      <c r="E621" s="47" t="s">
        <v>2274</v>
      </c>
      <c r="F621" s="47" t="s">
        <v>7763</v>
      </c>
      <c r="G621" s="364">
        <v>46203</v>
      </c>
      <c r="H621" s="47" t="s">
        <v>7764</v>
      </c>
      <c r="I621" s="47" t="s">
        <v>7765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8504</v>
      </c>
      <c r="E622" s="47" t="s">
        <v>2245</v>
      </c>
      <c r="F622" s="47" t="s">
        <v>7763</v>
      </c>
      <c r="G622" s="364">
        <v>46204</v>
      </c>
      <c r="H622" s="47" t="s">
        <v>7764</v>
      </c>
      <c r="I622" s="47" t="s">
        <v>7765</v>
      </c>
      <c r="J622" s="47" t="s">
        <v>2245</v>
      </c>
    </row>
    <row r="623" spans="2:10" ht="14.5">
      <c r="B623" s="47" t="s">
        <v>2254</v>
      </c>
      <c r="C623" s="47" t="s">
        <v>7761</v>
      </c>
      <c r="D623" s="47" t="s">
        <v>8505</v>
      </c>
      <c r="E623" s="47" t="s">
        <v>2251</v>
      </c>
      <c r="F623" s="47" t="s">
        <v>7763</v>
      </c>
      <c r="G623" s="364">
        <v>46178</v>
      </c>
      <c r="H623" s="47" t="s">
        <v>7764</v>
      </c>
      <c r="I623" s="47" t="s">
        <v>7765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8506</v>
      </c>
      <c r="E624" s="47" t="s">
        <v>2259</v>
      </c>
      <c r="F624" s="47" t="s">
        <v>7763</v>
      </c>
      <c r="G624" s="364">
        <v>46206</v>
      </c>
      <c r="H624" s="47" t="s">
        <v>7764</v>
      </c>
      <c r="I624" s="47" t="s">
        <v>7765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8507</v>
      </c>
      <c r="E625" s="47" t="s">
        <v>2225</v>
      </c>
      <c r="F625" s="47" t="s">
        <v>7763</v>
      </c>
      <c r="G625" s="364">
        <v>46220</v>
      </c>
      <c r="H625" s="47" t="s">
        <v>7764</v>
      </c>
      <c r="I625" s="47" t="s">
        <v>7765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8508</v>
      </c>
      <c r="E626" s="47" t="s">
        <v>2189</v>
      </c>
      <c r="F626" s="47" t="s">
        <v>7763</v>
      </c>
      <c r="G626" s="364">
        <v>46203</v>
      </c>
      <c r="H626" s="47" t="s">
        <v>7764</v>
      </c>
      <c r="I626" s="47" t="s">
        <v>7765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8509</v>
      </c>
      <c r="E627" s="47" t="s">
        <v>2195</v>
      </c>
      <c r="F627" s="47" t="s">
        <v>7763</v>
      </c>
      <c r="G627" s="364">
        <v>46205</v>
      </c>
      <c r="H627" s="47" t="s">
        <v>7764</v>
      </c>
      <c r="I627" s="47" t="s">
        <v>7765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8510</v>
      </c>
      <c r="E628" s="47" t="s">
        <v>2200</v>
      </c>
      <c r="F628" s="47" t="s">
        <v>7763</v>
      </c>
      <c r="G628" s="364">
        <v>46204</v>
      </c>
      <c r="H628" s="47" t="s">
        <v>7764</v>
      </c>
      <c r="I628" s="47" t="s">
        <v>7765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8511</v>
      </c>
      <c r="E629" s="47" t="s">
        <v>2208</v>
      </c>
      <c r="F629" s="47" t="s">
        <v>7763</v>
      </c>
      <c r="G629" s="364">
        <v>46204</v>
      </c>
      <c r="H629" s="47" t="s">
        <v>7764</v>
      </c>
      <c r="I629" s="47" t="s">
        <v>7765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8512</v>
      </c>
      <c r="E630" s="47" t="s">
        <v>2206</v>
      </c>
      <c r="F630" s="47" t="s">
        <v>7763</v>
      </c>
      <c r="G630" s="364">
        <v>46204</v>
      </c>
      <c r="H630" s="47" t="s">
        <v>7764</v>
      </c>
      <c r="I630" s="47" t="s">
        <v>7765</v>
      </c>
      <c r="J630" s="47" t="s">
        <v>2206</v>
      </c>
    </row>
    <row r="631" spans="2:10" ht="14.5">
      <c r="B631" s="47" t="s">
        <v>8513</v>
      </c>
      <c r="C631" s="47" t="s">
        <v>64</v>
      </c>
      <c r="D631" s="47" t="s">
        <v>8514</v>
      </c>
      <c r="E631" s="47" t="s">
        <v>8515</v>
      </c>
      <c r="F631" s="47" t="s">
        <v>7810</v>
      </c>
      <c r="G631" s="364">
        <v>46202</v>
      </c>
      <c r="H631" s="47" t="s">
        <v>7764</v>
      </c>
      <c r="I631" s="47" t="s">
        <v>7765</v>
      </c>
      <c r="J631" s="47" t="s">
        <v>8515</v>
      </c>
    </row>
    <row r="632" spans="2:10" ht="14.5">
      <c r="B632" s="47" t="s">
        <v>8516</v>
      </c>
      <c r="C632" s="47" t="s">
        <v>64</v>
      </c>
      <c r="D632" s="47" t="s">
        <v>8517</v>
      </c>
      <c r="E632" s="47" t="s">
        <v>8518</v>
      </c>
      <c r="F632" s="47" t="s">
        <v>7763</v>
      </c>
      <c r="G632" s="364">
        <v>46188</v>
      </c>
      <c r="H632" s="47" t="s">
        <v>7764</v>
      </c>
      <c r="I632" s="47" t="s">
        <v>7765</v>
      </c>
      <c r="J632" s="47" t="s">
        <v>8518</v>
      </c>
    </row>
    <row r="633" spans="2:10" ht="14.5">
      <c r="B633" s="47" t="s">
        <v>2153</v>
      </c>
      <c r="C633" s="47" t="s">
        <v>64</v>
      </c>
      <c r="D633" s="47" t="s">
        <v>8519</v>
      </c>
      <c r="E633" s="47" t="s">
        <v>2149</v>
      </c>
      <c r="F633" s="47" t="s">
        <v>7763</v>
      </c>
      <c r="G633" s="364">
        <v>46205</v>
      </c>
      <c r="H633" s="47" t="s">
        <v>7764</v>
      </c>
      <c r="I633" s="47" t="s">
        <v>7765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8520</v>
      </c>
      <c r="E634" s="47" t="s">
        <v>2157</v>
      </c>
      <c r="F634" s="47" t="s">
        <v>7763</v>
      </c>
      <c r="G634" s="364">
        <v>46205</v>
      </c>
      <c r="H634" s="47" t="s">
        <v>7764</v>
      </c>
      <c r="I634" s="47" t="s">
        <v>7765</v>
      </c>
      <c r="J634" s="47" t="s">
        <v>2157</v>
      </c>
    </row>
    <row r="635" spans="2:10" ht="14.5">
      <c r="B635" s="47" t="s">
        <v>7243</v>
      </c>
      <c r="C635" s="47" t="s">
        <v>64</v>
      </c>
      <c r="D635" s="47" t="s">
        <v>8521</v>
      </c>
      <c r="E635" s="47" t="s">
        <v>8522</v>
      </c>
      <c r="F635" s="47" t="s">
        <v>7810</v>
      </c>
      <c r="G635" s="364">
        <v>46150</v>
      </c>
      <c r="H635" s="47" t="s">
        <v>7764</v>
      </c>
      <c r="I635" s="47" t="s">
        <v>7765</v>
      </c>
      <c r="J635" s="47" t="s">
        <v>7238</v>
      </c>
    </row>
    <row r="636" spans="2:10" ht="14.5">
      <c r="B636" s="47" t="s">
        <v>1159</v>
      </c>
      <c r="C636" s="47" t="s">
        <v>7761</v>
      </c>
      <c r="D636" s="47" t="s">
        <v>8523</v>
      </c>
      <c r="E636" s="47"/>
      <c r="F636" s="47" t="s">
        <v>7763</v>
      </c>
      <c r="G636" s="364">
        <v>46153</v>
      </c>
      <c r="H636" s="47" t="s">
        <v>7764</v>
      </c>
      <c r="I636" s="47" t="s">
        <v>7765</v>
      </c>
      <c r="J636" s="47" t="s">
        <v>8524</v>
      </c>
    </row>
    <row r="637" spans="2:10" ht="14.5">
      <c r="B637" s="47" t="s">
        <v>2173</v>
      </c>
      <c r="C637" s="47" t="s">
        <v>64</v>
      </c>
      <c r="D637" s="47" t="s">
        <v>8525</v>
      </c>
      <c r="E637" s="47" t="s">
        <v>2171</v>
      </c>
      <c r="F637" s="47" t="s">
        <v>7763</v>
      </c>
      <c r="G637" s="364">
        <v>46216</v>
      </c>
      <c r="H637" s="47" t="s">
        <v>7764</v>
      </c>
      <c r="I637" s="47" t="s">
        <v>7765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8526</v>
      </c>
      <c r="E638" s="47" t="s">
        <v>2102</v>
      </c>
      <c r="F638" s="47" t="s">
        <v>7763</v>
      </c>
      <c r="G638" s="364">
        <v>46209</v>
      </c>
      <c r="H638" s="47" t="s">
        <v>7764</v>
      </c>
      <c r="I638" s="47" t="s">
        <v>7765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8527</v>
      </c>
      <c r="E639" s="47" t="s">
        <v>2097</v>
      </c>
      <c r="F639" s="47" t="s">
        <v>7763</v>
      </c>
      <c r="G639" s="364">
        <v>46210</v>
      </c>
      <c r="H639" s="47" t="s">
        <v>7764</v>
      </c>
      <c r="I639" s="47" t="s">
        <v>7765</v>
      </c>
      <c r="J639" s="47" t="s">
        <v>2097</v>
      </c>
    </row>
    <row r="640" spans="2:10" ht="14.5">
      <c r="B640" s="47" t="s">
        <v>255</v>
      </c>
      <c r="C640" s="47" t="s">
        <v>7761</v>
      </c>
      <c r="D640" s="47" t="s">
        <v>8528</v>
      </c>
      <c r="E640" s="47"/>
      <c r="F640" s="47" t="s">
        <v>7763</v>
      </c>
      <c r="G640" s="364">
        <v>46146</v>
      </c>
      <c r="H640" s="47" t="s">
        <v>7764</v>
      </c>
      <c r="I640" s="47" t="s">
        <v>7765</v>
      </c>
      <c r="J640" s="47" t="s">
        <v>8529</v>
      </c>
    </row>
    <row r="641" spans="2:10" ht="14.5">
      <c r="B641" s="47" t="s">
        <v>1272</v>
      </c>
      <c r="C641" s="47" t="s">
        <v>7761</v>
      </c>
      <c r="D641" s="47" t="s">
        <v>8528</v>
      </c>
      <c r="E641" s="47"/>
      <c r="F641" s="47" t="s">
        <v>7763</v>
      </c>
      <c r="G641" s="364">
        <v>46146</v>
      </c>
      <c r="H641" s="47" t="s">
        <v>7764</v>
      </c>
      <c r="I641" s="47" t="s">
        <v>7765</v>
      </c>
      <c r="J641" s="47" t="s">
        <v>8529</v>
      </c>
    </row>
    <row r="642" spans="2:10" ht="14.5">
      <c r="B642" s="47" t="s">
        <v>1383</v>
      </c>
      <c r="C642" s="47" t="s">
        <v>7761</v>
      </c>
      <c r="D642" s="47" t="s">
        <v>8480</v>
      </c>
      <c r="E642" s="47"/>
      <c r="F642" s="47" t="s">
        <v>7763</v>
      </c>
      <c r="G642" s="364">
        <v>46146</v>
      </c>
      <c r="H642" s="47" t="s">
        <v>7764</v>
      </c>
      <c r="I642" s="47" t="s">
        <v>7765</v>
      </c>
      <c r="J642" s="47" t="s">
        <v>8530</v>
      </c>
    </row>
    <row r="643" spans="2:10" ht="14.5">
      <c r="B643" s="47" t="s">
        <v>1282</v>
      </c>
      <c r="C643" s="47" t="s">
        <v>7761</v>
      </c>
      <c r="D643" s="47" t="s">
        <v>8421</v>
      </c>
      <c r="E643" s="47"/>
      <c r="F643" s="47" t="s">
        <v>7763</v>
      </c>
      <c r="G643" s="364">
        <v>46146</v>
      </c>
      <c r="H643" s="47" t="s">
        <v>7764</v>
      </c>
      <c r="I643" s="47" t="s">
        <v>7765</v>
      </c>
      <c r="J643" s="47" t="s">
        <v>8531</v>
      </c>
    </row>
    <row r="644" spans="2:10" ht="14.5">
      <c r="B644" s="47" t="s">
        <v>8532</v>
      </c>
      <c r="C644" s="47" t="s">
        <v>7761</v>
      </c>
      <c r="D644" s="47" t="s">
        <v>8421</v>
      </c>
      <c r="E644" s="47"/>
      <c r="F644" s="47" t="s">
        <v>7763</v>
      </c>
      <c r="G644" s="364">
        <v>46146</v>
      </c>
      <c r="H644" s="47" t="s">
        <v>7911</v>
      </c>
      <c r="I644" s="47" t="s">
        <v>7765</v>
      </c>
      <c r="J644" s="47" t="s">
        <v>8531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7763</v>
      </c>
      <c r="G645" s="364">
        <v>46153</v>
      </c>
      <c r="H645" s="47" t="s">
        <v>7764</v>
      </c>
      <c r="I645" s="47" t="s">
        <v>7765</v>
      </c>
      <c r="J645" s="47" t="s">
        <v>8524</v>
      </c>
    </row>
    <row r="646" spans="2:10" ht="14.5">
      <c r="B646" s="47" t="s">
        <v>2105</v>
      </c>
      <c r="C646" s="47" t="s">
        <v>64</v>
      </c>
      <c r="D646" s="47" t="s">
        <v>8533</v>
      </c>
      <c r="E646" s="47" t="s">
        <v>2104</v>
      </c>
      <c r="F646" s="47" t="s">
        <v>7763</v>
      </c>
      <c r="G646" s="364">
        <v>46203</v>
      </c>
      <c r="H646" s="47" t="s">
        <v>7764</v>
      </c>
      <c r="I646" s="47" t="s">
        <v>7765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8534</v>
      </c>
      <c r="E647" s="47" t="s">
        <v>2109</v>
      </c>
      <c r="F647" s="47" t="s">
        <v>7763</v>
      </c>
      <c r="G647" s="364">
        <v>46203</v>
      </c>
      <c r="H647" s="47" t="s">
        <v>7764</v>
      </c>
      <c r="I647" s="47" t="s">
        <v>7765</v>
      </c>
      <c r="J647" s="47" t="s">
        <v>2109</v>
      </c>
    </row>
    <row r="648" spans="2:10" ht="14.5">
      <c r="B648" s="47" t="s">
        <v>2112</v>
      </c>
      <c r="C648" s="47" t="s">
        <v>7761</v>
      </c>
      <c r="D648" s="47" t="s">
        <v>8535</v>
      </c>
      <c r="E648" s="47" t="s">
        <v>2111</v>
      </c>
      <c r="F648" s="47" t="s">
        <v>7763</v>
      </c>
      <c r="G648" s="364">
        <v>46192</v>
      </c>
      <c r="H648" s="47" t="s">
        <v>7764</v>
      </c>
      <c r="I648" s="47" t="s">
        <v>7765</v>
      </c>
      <c r="J648" s="47" t="s">
        <v>2111</v>
      </c>
    </row>
    <row r="649" spans="2:10" ht="14.5">
      <c r="B649" s="47" t="s">
        <v>2117</v>
      </c>
      <c r="C649" s="47" t="s">
        <v>7761</v>
      </c>
      <c r="D649" s="47" t="s">
        <v>8536</v>
      </c>
      <c r="E649" s="47" t="s">
        <v>2116</v>
      </c>
      <c r="F649" s="47" t="s">
        <v>7763</v>
      </c>
      <c r="G649" s="364">
        <v>46192</v>
      </c>
      <c r="H649" s="47" t="s">
        <v>7764</v>
      </c>
      <c r="I649" s="47" t="s">
        <v>7765</v>
      </c>
      <c r="J649" s="47" t="s">
        <v>2116</v>
      </c>
    </row>
    <row r="650" spans="2:10" ht="14.5">
      <c r="B650" s="47" t="s">
        <v>8537</v>
      </c>
      <c r="C650" s="47" t="s">
        <v>64</v>
      </c>
      <c r="D650" s="47" t="s">
        <v>8423</v>
      </c>
      <c r="E650" s="47" t="s">
        <v>2129</v>
      </c>
      <c r="F650" s="47" t="s">
        <v>7763</v>
      </c>
      <c r="G650" s="364">
        <v>46179</v>
      </c>
      <c r="H650" s="47" t="s">
        <v>8314</v>
      </c>
      <c r="I650" s="47" t="s">
        <v>7765</v>
      </c>
      <c r="J650" s="47" t="s">
        <v>2129</v>
      </c>
    </row>
    <row r="651" spans="2:10" ht="14.5">
      <c r="B651" s="47" t="s">
        <v>8538</v>
      </c>
      <c r="C651" s="47" t="s">
        <v>64</v>
      </c>
      <c r="D651" s="47" t="s">
        <v>8425</v>
      </c>
      <c r="E651" s="47" t="s">
        <v>8539</v>
      </c>
      <c r="F651" s="47" t="s">
        <v>7763</v>
      </c>
      <c r="G651" s="364">
        <v>46179</v>
      </c>
      <c r="H651" s="47" t="s">
        <v>8314</v>
      </c>
      <c r="I651" s="47" t="s">
        <v>7765</v>
      </c>
      <c r="J651" s="47" t="s">
        <v>8539</v>
      </c>
    </row>
    <row r="652" spans="2:10" ht="14.5">
      <c r="B652" s="47" t="s">
        <v>2137</v>
      </c>
      <c r="C652" s="47" t="s">
        <v>64</v>
      </c>
      <c r="D652" s="47" t="s">
        <v>8540</v>
      </c>
      <c r="E652" s="47" t="s">
        <v>2131</v>
      </c>
      <c r="F652" s="47" t="s">
        <v>7763</v>
      </c>
      <c r="G652" s="364">
        <v>46189</v>
      </c>
      <c r="H652" s="47" t="s">
        <v>7764</v>
      </c>
      <c r="I652" s="47" t="s">
        <v>7765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8541</v>
      </c>
      <c r="E653" s="47" t="s">
        <v>2141</v>
      </c>
      <c r="F653" s="47" t="s">
        <v>7763</v>
      </c>
      <c r="G653" s="364">
        <v>46196</v>
      </c>
      <c r="H653" s="47" t="s">
        <v>7764</v>
      </c>
      <c r="I653" s="47" t="s">
        <v>7765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8542</v>
      </c>
      <c r="E654" s="47" t="s">
        <v>2146</v>
      </c>
      <c r="F654" s="47" t="s">
        <v>7763</v>
      </c>
      <c r="G654" s="364">
        <v>46196</v>
      </c>
      <c r="H654" s="47" t="s">
        <v>7764</v>
      </c>
      <c r="I654" s="47" t="s">
        <v>7765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8543</v>
      </c>
      <c r="E655" s="47" t="s">
        <v>2160</v>
      </c>
      <c r="F655" s="47" t="s">
        <v>7763</v>
      </c>
      <c r="G655" s="364">
        <v>46204</v>
      </c>
      <c r="H655" s="47" t="s">
        <v>7764</v>
      </c>
      <c r="I655" s="47" t="s">
        <v>7765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8544</v>
      </c>
      <c r="E656" s="47" t="s">
        <v>2164</v>
      </c>
      <c r="F656" s="47" t="s">
        <v>7763</v>
      </c>
      <c r="G656" s="364">
        <v>46204</v>
      </c>
      <c r="H656" s="47" t="s">
        <v>7764</v>
      </c>
      <c r="I656" s="47" t="s">
        <v>7765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8545</v>
      </c>
      <c r="E657" s="47" t="s">
        <v>2177</v>
      </c>
      <c r="F657" s="47" t="s">
        <v>7763</v>
      </c>
      <c r="G657" s="364">
        <v>46197</v>
      </c>
      <c r="H657" s="47" t="s">
        <v>7764</v>
      </c>
      <c r="I657" s="47" t="s">
        <v>7765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8546</v>
      </c>
      <c r="E658" s="47" t="s">
        <v>2166</v>
      </c>
      <c r="F658" s="47" t="s">
        <v>7763</v>
      </c>
      <c r="G658" s="364">
        <v>46198</v>
      </c>
      <c r="H658" s="47" t="s">
        <v>7764</v>
      </c>
      <c r="I658" s="47" t="s">
        <v>7765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8547</v>
      </c>
      <c r="E659" s="47"/>
      <c r="F659" s="47" t="s">
        <v>7763</v>
      </c>
      <c r="G659" s="364">
        <v>46178</v>
      </c>
      <c r="H659" s="47" t="s">
        <v>7764</v>
      </c>
      <c r="I659" s="47" t="s">
        <v>7765</v>
      </c>
      <c r="J659" s="47" t="s">
        <v>8548</v>
      </c>
    </row>
    <row r="660" spans="2:10" ht="14.5">
      <c r="B660" s="47" t="s">
        <v>2083</v>
      </c>
      <c r="C660" s="47" t="s">
        <v>64</v>
      </c>
      <c r="D660" s="47" t="s">
        <v>8549</v>
      </c>
      <c r="E660" s="47" t="s">
        <v>2081</v>
      </c>
      <c r="F660" s="47" t="s">
        <v>7763</v>
      </c>
      <c r="G660" s="364">
        <v>46189</v>
      </c>
      <c r="H660" s="47" t="s">
        <v>7764</v>
      </c>
      <c r="I660" s="47" t="s">
        <v>7765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8550</v>
      </c>
      <c r="E661" s="47" t="s">
        <v>2086</v>
      </c>
      <c r="F661" s="47" t="s">
        <v>7763</v>
      </c>
      <c r="G661" s="364">
        <v>46206</v>
      </c>
      <c r="H661" s="47" t="s">
        <v>7764</v>
      </c>
      <c r="I661" s="47" t="s">
        <v>7765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8551</v>
      </c>
      <c r="E662" s="47" t="s">
        <v>2093</v>
      </c>
      <c r="F662" s="47" t="s">
        <v>7763</v>
      </c>
      <c r="G662" s="364">
        <v>46189</v>
      </c>
      <c r="H662" s="47" t="s">
        <v>7764</v>
      </c>
      <c r="I662" s="47" t="s">
        <v>7765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8552</v>
      </c>
      <c r="E663" s="47" t="s">
        <v>2043</v>
      </c>
      <c r="F663" s="47" t="s">
        <v>7763</v>
      </c>
      <c r="G663" s="364">
        <v>46181</v>
      </c>
      <c r="H663" s="47" t="s">
        <v>7764</v>
      </c>
      <c r="I663" s="47" t="s">
        <v>7765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8553</v>
      </c>
      <c r="E664" s="47" t="s">
        <v>2076</v>
      </c>
      <c r="F664" s="47" t="s">
        <v>7763</v>
      </c>
      <c r="G664" s="364">
        <v>46190</v>
      </c>
      <c r="H664" s="47" t="s">
        <v>7764</v>
      </c>
      <c r="I664" s="47" t="s">
        <v>7765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8554</v>
      </c>
      <c r="E665" s="47" t="s">
        <v>2037</v>
      </c>
      <c r="F665" s="47" t="s">
        <v>7763</v>
      </c>
      <c r="G665" s="364">
        <v>46192</v>
      </c>
      <c r="H665" s="47" t="s">
        <v>7764</v>
      </c>
      <c r="I665" s="47" t="s">
        <v>7765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8555</v>
      </c>
      <c r="E666" s="47" t="s">
        <v>2031</v>
      </c>
      <c r="F666" s="47" t="s">
        <v>7763</v>
      </c>
      <c r="G666" s="364">
        <v>46192</v>
      </c>
      <c r="H666" s="47" t="s">
        <v>7764</v>
      </c>
      <c r="I666" s="47" t="s">
        <v>7765</v>
      </c>
      <c r="J666" s="47" t="s">
        <v>2031</v>
      </c>
    </row>
    <row r="667" spans="2:10" ht="14.5">
      <c r="B667" s="47" t="s">
        <v>2049</v>
      </c>
      <c r="C667" s="47" t="s">
        <v>7761</v>
      </c>
      <c r="D667" s="47" t="s">
        <v>8556</v>
      </c>
      <c r="E667" s="47" t="s">
        <v>2048</v>
      </c>
      <c r="F667" s="47" t="s">
        <v>7763</v>
      </c>
      <c r="G667" s="364">
        <v>46177</v>
      </c>
      <c r="H667" s="47" t="s">
        <v>7764</v>
      </c>
      <c r="I667" s="47" t="s">
        <v>7765</v>
      </c>
      <c r="J667" s="47" t="s">
        <v>2048</v>
      </c>
    </row>
    <row r="668" spans="2:10" ht="14.5">
      <c r="B668" s="47" t="s">
        <v>8557</v>
      </c>
      <c r="C668" s="47" t="s">
        <v>64</v>
      </c>
      <c r="D668" s="47" t="s">
        <v>8472</v>
      </c>
      <c r="E668" s="47" t="s">
        <v>2052</v>
      </c>
      <c r="F668" s="47" t="s">
        <v>7763</v>
      </c>
      <c r="G668" s="364">
        <v>46168</v>
      </c>
      <c r="H668" s="47" t="s">
        <v>7911</v>
      </c>
      <c r="I668" s="47" t="s">
        <v>7765</v>
      </c>
      <c r="J668" s="47" t="s">
        <v>2052</v>
      </c>
    </row>
    <row r="669" spans="2:10" ht="14.5">
      <c r="B669" s="47" t="s">
        <v>8558</v>
      </c>
      <c r="C669" s="47" t="s">
        <v>64</v>
      </c>
      <c r="D669" s="47" t="s">
        <v>8470</v>
      </c>
      <c r="E669" s="47" t="s">
        <v>2059</v>
      </c>
      <c r="F669" s="47" t="s">
        <v>7763</v>
      </c>
      <c r="G669" s="364">
        <v>46184</v>
      </c>
      <c r="H669" s="47" t="s">
        <v>7911</v>
      </c>
      <c r="I669" s="47" t="s">
        <v>7765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8559</v>
      </c>
      <c r="E670" s="47" t="s">
        <v>1996</v>
      </c>
      <c r="F670" s="47" t="s">
        <v>7763</v>
      </c>
      <c r="G670" s="364">
        <v>46202</v>
      </c>
      <c r="H670" s="47" t="s">
        <v>7764</v>
      </c>
      <c r="I670" s="47" t="s">
        <v>7765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8560</v>
      </c>
      <c r="E671" s="47" t="s">
        <v>2063</v>
      </c>
      <c r="F671" s="47" t="s">
        <v>7763</v>
      </c>
      <c r="G671" s="364">
        <v>46181</v>
      </c>
      <c r="H671" s="47" t="s">
        <v>7764</v>
      </c>
      <c r="I671" s="47" t="s">
        <v>7765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8561</v>
      </c>
      <c r="E672" s="47" t="s">
        <v>2068</v>
      </c>
      <c r="F672" s="47" t="s">
        <v>7763</v>
      </c>
      <c r="G672" s="364">
        <v>46181</v>
      </c>
      <c r="H672" s="47" t="s">
        <v>7764</v>
      </c>
      <c r="I672" s="47" t="s">
        <v>7765</v>
      </c>
      <c r="J672" s="47" t="s">
        <v>2068</v>
      </c>
    </row>
    <row r="673" spans="2:10" ht="14.5">
      <c r="B673" s="47" t="s">
        <v>2025</v>
      </c>
      <c r="C673" s="47" t="s">
        <v>7761</v>
      </c>
      <c r="D673" s="47" t="s">
        <v>8562</v>
      </c>
      <c r="E673" s="47" t="s">
        <v>2023</v>
      </c>
      <c r="F673" s="47" t="s">
        <v>7763</v>
      </c>
      <c r="G673" s="364">
        <v>46195</v>
      </c>
      <c r="H673" s="47" t="s">
        <v>7764</v>
      </c>
      <c r="I673" s="47" t="s">
        <v>7765</v>
      </c>
      <c r="J673" s="47" t="s">
        <v>2023</v>
      </c>
    </row>
    <row r="674" spans="2:10" ht="14.5">
      <c r="B674" s="47" t="s">
        <v>2030</v>
      </c>
      <c r="C674" s="47" t="s">
        <v>7761</v>
      </c>
      <c r="D674" s="47" t="s">
        <v>8563</v>
      </c>
      <c r="E674" s="47" t="s">
        <v>2027</v>
      </c>
      <c r="F674" s="47" t="s">
        <v>7763</v>
      </c>
      <c r="G674" s="364">
        <v>46195</v>
      </c>
      <c r="H674" s="47" t="s">
        <v>7764</v>
      </c>
      <c r="I674" s="47" t="s">
        <v>7765</v>
      </c>
      <c r="J674" s="47" t="s">
        <v>2027</v>
      </c>
    </row>
    <row r="675" spans="2:10" ht="14.5">
      <c r="B675" s="47" t="s">
        <v>2018</v>
      </c>
      <c r="C675" s="47" t="s">
        <v>7761</v>
      </c>
      <c r="D675" s="47" t="s">
        <v>8564</v>
      </c>
      <c r="E675" s="47" t="s">
        <v>2017</v>
      </c>
      <c r="F675" s="47" t="s">
        <v>7763</v>
      </c>
      <c r="G675" s="364">
        <v>46195</v>
      </c>
      <c r="H675" s="47" t="s">
        <v>7764</v>
      </c>
      <c r="I675" s="47" t="s">
        <v>7765</v>
      </c>
      <c r="J675" s="47" t="s">
        <v>2017</v>
      </c>
    </row>
    <row r="676" spans="2:10" ht="14.5">
      <c r="B676" s="47" t="s">
        <v>2072</v>
      </c>
      <c r="C676" s="47" t="s">
        <v>7761</v>
      </c>
      <c r="D676" s="47" t="s">
        <v>8565</v>
      </c>
      <c r="E676" s="47" t="s">
        <v>1893</v>
      </c>
      <c r="F676" s="47" t="s">
        <v>7763</v>
      </c>
      <c r="G676" s="364">
        <v>46191</v>
      </c>
      <c r="H676" s="47" t="s">
        <v>7764</v>
      </c>
      <c r="I676" s="47" t="s">
        <v>7765</v>
      </c>
      <c r="J676" s="47" t="s">
        <v>1893</v>
      </c>
    </row>
    <row r="677" spans="2:10" ht="14.5">
      <c r="B677" s="47" t="s">
        <v>1971</v>
      </c>
      <c r="C677" s="47" t="s">
        <v>7761</v>
      </c>
      <c r="D677" s="47" t="s">
        <v>8566</v>
      </c>
      <c r="E677" s="47" t="s">
        <v>1970</v>
      </c>
      <c r="F677" s="47" t="s">
        <v>7763</v>
      </c>
      <c r="G677" s="364">
        <v>46157</v>
      </c>
      <c r="H677" s="47" t="s">
        <v>7764</v>
      </c>
      <c r="I677" s="47" t="s">
        <v>7765</v>
      </c>
      <c r="J677" s="47" t="s">
        <v>1970</v>
      </c>
    </row>
    <row r="678" spans="2:10" ht="14.5">
      <c r="B678" s="47" t="s">
        <v>1969</v>
      </c>
      <c r="C678" s="47" t="s">
        <v>7761</v>
      </c>
      <c r="D678" s="47" t="s">
        <v>8567</v>
      </c>
      <c r="E678" s="47" t="s">
        <v>1968</v>
      </c>
      <c r="F678" s="47" t="s">
        <v>7763</v>
      </c>
      <c r="G678" s="364">
        <v>46168</v>
      </c>
      <c r="H678" s="47" t="s">
        <v>7764</v>
      </c>
      <c r="I678" s="47" t="s">
        <v>7765</v>
      </c>
      <c r="J678" s="47" t="s">
        <v>1968</v>
      </c>
    </row>
    <row r="679" spans="2:10" ht="14.5">
      <c r="B679" s="47" t="s">
        <v>1943</v>
      </c>
      <c r="C679" s="47" t="s">
        <v>7761</v>
      </c>
      <c r="D679" s="47" t="s">
        <v>8568</v>
      </c>
      <c r="E679" s="47" t="s">
        <v>1942</v>
      </c>
      <c r="F679" s="47" t="s">
        <v>7763</v>
      </c>
      <c r="G679" s="364">
        <v>46183</v>
      </c>
      <c r="H679" s="47" t="s">
        <v>7764</v>
      </c>
      <c r="I679" s="47" t="s">
        <v>7765</v>
      </c>
      <c r="J679" s="47" t="s">
        <v>1942</v>
      </c>
    </row>
    <row r="680" spans="2:10" ht="14.5">
      <c r="B680" s="47" t="s">
        <v>1965</v>
      </c>
      <c r="C680" s="47" t="s">
        <v>7761</v>
      </c>
      <c r="D680" s="47" t="s">
        <v>8569</v>
      </c>
      <c r="E680" s="47" t="s">
        <v>1963</v>
      </c>
      <c r="F680" s="47" t="s">
        <v>7763</v>
      </c>
      <c r="G680" s="364">
        <v>46154</v>
      </c>
      <c r="H680" s="47" t="s">
        <v>7764</v>
      </c>
      <c r="I680" s="47" t="s">
        <v>7765</v>
      </c>
      <c r="J680" s="47" t="s">
        <v>1963</v>
      </c>
    </row>
    <row r="681" spans="2:10" ht="14.5">
      <c r="B681" s="47" t="s">
        <v>1959</v>
      </c>
      <c r="C681" s="47" t="s">
        <v>7761</v>
      </c>
      <c r="D681" s="47" t="s">
        <v>8570</v>
      </c>
      <c r="E681" s="47" t="s">
        <v>1956</v>
      </c>
      <c r="F681" s="47" t="s">
        <v>7763</v>
      </c>
      <c r="G681" s="364">
        <v>46154</v>
      </c>
      <c r="H681" s="47" t="s">
        <v>7764</v>
      </c>
      <c r="I681" s="47" t="s">
        <v>7765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8571</v>
      </c>
      <c r="E682" s="47" t="s">
        <v>1947</v>
      </c>
      <c r="F682" s="47" t="s">
        <v>7763</v>
      </c>
      <c r="G682" s="364">
        <v>46181</v>
      </c>
      <c r="H682" s="47" t="s">
        <v>7764</v>
      </c>
      <c r="I682" s="47" t="s">
        <v>7765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8572</v>
      </c>
      <c r="E683" s="47" t="s">
        <v>2003</v>
      </c>
      <c r="F683" s="47" t="s">
        <v>7763</v>
      </c>
      <c r="G683" s="364">
        <v>46188</v>
      </c>
      <c r="H683" s="47" t="s">
        <v>7764</v>
      </c>
      <c r="I683" s="47" t="s">
        <v>7765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8573</v>
      </c>
      <c r="E684" s="47" t="s">
        <v>2009</v>
      </c>
      <c r="F684" s="47" t="s">
        <v>7763</v>
      </c>
      <c r="G684" s="364">
        <v>46192</v>
      </c>
      <c r="H684" s="47" t="s">
        <v>7764</v>
      </c>
      <c r="I684" s="47" t="s">
        <v>7765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8574</v>
      </c>
      <c r="E685" s="47" t="s">
        <v>2013</v>
      </c>
      <c r="F685" s="47" t="s">
        <v>7763</v>
      </c>
      <c r="G685" s="364">
        <v>46184</v>
      </c>
      <c r="H685" s="47" t="s">
        <v>7764</v>
      </c>
      <c r="I685" s="47" t="s">
        <v>7765</v>
      </c>
      <c r="J685" s="47" t="s">
        <v>2013</v>
      </c>
    </row>
    <row r="686" spans="2:10" ht="14.5">
      <c r="B686" s="47" t="s">
        <v>1953</v>
      </c>
      <c r="C686" s="47" t="s">
        <v>7761</v>
      </c>
      <c r="D686" s="47" t="s">
        <v>8575</v>
      </c>
      <c r="E686" s="47" t="s">
        <v>1952</v>
      </c>
      <c r="F686" s="47" t="s">
        <v>7763</v>
      </c>
      <c r="G686" s="364">
        <v>46155</v>
      </c>
      <c r="H686" s="47" t="s">
        <v>7764</v>
      </c>
      <c r="I686" s="47" t="s">
        <v>7765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8576</v>
      </c>
      <c r="E687" s="47" t="s">
        <v>1975</v>
      </c>
      <c r="F687" s="47" t="s">
        <v>7763</v>
      </c>
      <c r="G687" s="364">
        <v>46183</v>
      </c>
      <c r="H687" s="47" t="s">
        <v>7764</v>
      </c>
      <c r="I687" s="47" t="s">
        <v>7765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8577</v>
      </c>
      <c r="E688" s="47" t="s">
        <v>1985</v>
      </c>
      <c r="F688" s="47" t="s">
        <v>7763</v>
      </c>
      <c r="G688" s="364">
        <v>46183</v>
      </c>
      <c r="H688" s="47" t="s">
        <v>7764</v>
      </c>
      <c r="I688" s="47" t="s">
        <v>7765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8578</v>
      </c>
      <c r="E689" s="47" t="s">
        <v>1983</v>
      </c>
      <c r="F689" s="47" t="s">
        <v>7763</v>
      </c>
      <c r="G689" s="364">
        <v>46183</v>
      </c>
      <c r="H689" s="47" t="s">
        <v>7764</v>
      </c>
      <c r="I689" s="47" t="s">
        <v>7765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8579</v>
      </c>
      <c r="E690" s="47" t="s">
        <v>1723</v>
      </c>
      <c r="F690" s="47" t="s">
        <v>7763</v>
      </c>
      <c r="G690" s="364">
        <v>46176</v>
      </c>
      <c r="H690" s="47" t="s">
        <v>7764</v>
      </c>
      <c r="I690" s="47" t="s">
        <v>7765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8580</v>
      </c>
      <c r="E691" s="47" t="s">
        <v>1775</v>
      </c>
      <c r="F691" s="47" t="s">
        <v>7763</v>
      </c>
      <c r="G691" s="364">
        <v>46176</v>
      </c>
      <c r="H691" s="47" t="s">
        <v>7764</v>
      </c>
      <c r="I691" s="47" t="s">
        <v>7765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8581</v>
      </c>
      <c r="E692" s="47" t="s">
        <v>1728</v>
      </c>
      <c r="F692" s="47" t="s">
        <v>7763</v>
      </c>
      <c r="G692" s="364">
        <v>46176</v>
      </c>
      <c r="H692" s="47" t="s">
        <v>7764</v>
      </c>
      <c r="I692" s="47" t="s">
        <v>7765</v>
      </c>
      <c r="J692" s="47" t="s">
        <v>1728</v>
      </c>
    </row>
    <row r="693" spans="2:10" ht="14.5">
      <c r="B693" s="47" t="s">
        <v>871</v>
      </c>
      <c r="C693" s="47" t="s">
        <v>7761</v>
      </c>
      <c r="D693" s="47" t="s">
        <v>8582</v>
      </c>
      <c r="E693" s="47"/>
      <c r="F693" s="47" t="s">
        <v>7763</v>
      </c>
      <c r="G693" s="364">
        <v>46174</v>
      </c>
      <c r="H693" s="47" t="s">
        <v>7764</v>
      </c>
      <c r="I693" s="47" t="s">
        <v>7765</v>
      </c>
      <c r="J693" s="47" t="s">
        <v>8583</v>
      </c>
    </row>
    <row r="694" spans="2:10" ht="14.5">
      <c r="B694" s="47" t="s">
        <v>877</v>
      </c>
      <c r="C694" s="47" t="s">
        <v>64</v>
      </c>
      <c r="D694" s="47" t="s">
        <v>8582</v>
      </c>
      <c r="E694" s="47"/>
      <c r="F694" s="47" t="s">
        <v>7763</v>
      </c>
      <c r="G694" s="364">
        <v>46177</v>
      </c>
      <c r="H694" s="47" t="s">
        <v>7764</v>
      </c>
      <c r="I694" s="47" t="s">
        <v>7765</v>
      </c>
      <c r="J694" s="47" t="s">
        <v>8584</v>
      </c>
    </row>
    <row r="695" spans="2:10" ht="14.5">
      <c r="B695" s="47" t="s">
        <v>1600</v>
      </c>
      <c r="C695" s="47" t="s">
        <v>7761</v>
      </c>
      <c r="D695" s="47" t="s">
        <v>8585</v>
      </c>
      <c r="E695" s="47"/>
      <c r="F695" s="47" t="s">
        <v>7763</v>
      </c>
      <c r="G695" s="364">
        <v>46161</v>
      </c>
      <c r="H695" s="47" t="s">
        <v>7764</v>
      </c>
      <c r="I695" s="47" t="s">
        <v>7765</v>
      </c>
      <c r="J695" s="47" t="s">
        <v>8586</v>
      </c>
    </row>
    <row r="696" spans="2:10" ht="14.5">
      <c r="B696" s="47" t="s">
        <v>1605</v>
      </c>
      <c r="C696" s="47" t="s">
        <v>64</v>
      </c>
      <c r="D696" s="47" t="s">
        <v>8585</v>
      </c>
      <c r="E696" s="47"/>
      <c r="F696" s="47" t="s">
        <v>7763</v>
      </c>
      <c r="G696" s="364">
        <v>46160</v>
      </c>
      <c r="H696" s="47" t="s">
        <v>7764</v>
      </c>
      <c r="I696" s="47" t="s">
        <v>7765</v>
      </c>
      <c r="J696" s="47" t="s">
        <v>8587</v>
      </c>
    </row>
    <row r="697" spans="2:10" ht="14.5">
      <c r="B697" s="47" t="s">
        <v>586</v>
      </c>
      <c r="C697" s="47" t="s">
        <v>64</v>
      </c>
      <c r="D697" s="47" t="s">
        <v>8588</v>
      </c>
      <c r="E697" s="47"/>
      <c r="F697" s="47" t="s">
        <v>7763</v>
      </c>
      <c r="G697" s="364">
        <v>46132</v>
      </c>
      <c r="H697" s="47" t="s">
        <v>7764</v>
      </c>
      <c r="I697" s="47" t="s">
        <v>7765</v>
      </c>
      <c r="J697" s="47" t="s">
        <v>8589</v>
      </c>
    </row>
    <row r="698" spans="2:10" ht="14.5">
      <c r="B698" s="47" t="s">
        <v>591</v>
      </c>
      <c r="C698" s="47" t="s">
        <v>64</v>
      </c>
      <c r="D698" s="47" t="s">
        <v>8590</v>
      </c>
      <c r="E698" s="47"/>
      <c r="F698" s="47" t="s">
        <v>7763</v>
      </c>
      <c r="G698" s="364">
        <v>46133</v>
      </c>
      <c r="H698" s="47" t="s">
        <v>7764</v>
      </c>
      <c r="I698" s="47" t="s">
        <v>7765</v>
      </c>
      <c r="J698" s="47" t="s">
        <v>8591</v>
      </c>
    </row>
    <row r="699" spans="2:10" ht="14.5">
      <c r="B699" s="47" t="s">
        <v>1884</v>
      </c>
      <c r="C699" s="47" t="s">
        <v>7761</v>
      </c>
      <c r="D699" s="47" t="s">
        <v>8592</v>
      </c>
      <c r="E699" s="47" t="s">
        <v>1881</v>
      </c>
      <c r="F699" s="47" t="s">
        <v>7763</v>
      </c>
      <c r="G699" s="364">
        <v>46185</v>
      </c>
      <c r="H699" s="47" t="s">
        <v>7764</v>
      </c>
      <c r="I699" s="47" t="s">
        <v>7765</v>
      </c>
      <c r="J699" s="47" t="s">
        <v>1881</v>
      </c>
    </row>
    <row r="700" spans="2:10" ht="14.5">
      <c r="B700" s="47" t="s">
        <v>1890</v>
      </c>
      <c r="C700" s="47" t="s">
        <v>7761</v>
      </c>
      <c r="D700" s="47" t="s">
        <v>8593</v>
      </c>
      <c r="E700" s="47" t="s">
        <v>1887</v>
      </c>
      <c r="F700" s="47" t="s">
        <v>7763</v>
      </c>
      <c r="G700" s="364">
        <v>46185</v>
      </c>
      <c r="H700" s="47" t="s">
        <v>7764</v>
      </c>
      <c r="I700" s="47" t="s">
        <v>7765</v>
      </c>
      <c r="J700" s="47" t="s">
        <v>1887</v>
      </c>
    </row>
    <row r="701" spans="2:10" ht="14.5">
      <c r="B701" s="47" t="s">
        <v>1919</v>
      </c>
      <c r="C701" s="47" t="s">
        <v>7761</v>
      </c>
      <c r="D701" s="47" t="s">
        <v>8594</v>
      </c>
      <c r="E701" s="47" t="s">
        <v>1918</v>
      </c>
      <c r="F701" s="47" t="s">
        <v>7763</v>
      </c>
      <c r="G701" s="364">
        <v>46170</v>
      </c>
      <c r="H701" s="47" t="s">
        <v>7764</v>
      </c>
      <c r="I701" s="47" t="s">
        <v>7765</v>
      </c>
      <c r="J701" s="47" t="s">
        <v>1918</v>
      </c>
    </row>
    <row r="702" spans="2:10" ht="14.5">
      <c r="B702" s="47" t="s">
        <v>1897</v>
      </c>
      <c r="C702" s="47" t="s">
        <v>7761</v>
      </c>
      <c r="D702" s="47" t="s">
        <v>8595</v>
      </c>
      <c r="E702" s="47" t="s">
        <v>1892</v>
      </c>
      <c r="F702" s="47" t="s">
        <v>7763</v>
      </c>
      <c r="G702" s="364">
        <v>46170</v>
      </c>
      <c r="H702" s="47" t="s">
        <v>7764</v>
      </c>
      <c r="I702" s="47" t="s">
        <v>7765</v>
      </c>
      <c r="J702" s="47" t="s">
        <v>1892</v>
      </c>
    </row>
    <row r="703" spans="2:10" ht="14.5">
      <c r="B703" s="47" t="s">
        <v>1915</v>
      </c>
      <c r="C703" s="47" t="s">
        <v>7761</v>
      </c>
      <c r="D703" s="47" t="s">
        <v>8596</v>
      </c>
      <c r="E703" s="47" t="s">
        <v>1911</v>
      </c>
      <c r="F703" s="47" t="s">
        <v>7763</v>
      </c>
      <c r="G703" s="364">
        <v>46177</v>
      </c>
      <c r="H703" s="47" t="s">
        <v>7764</v>
      </c>
      <c r="I703" s="47" t="s">
        <v>7765</v>
      </c>
      <c r="J703" s="47" t="s">
        <v>1911</v>
      </c>
    </row>
    <row r="704" spans="2:10" ht="14.5">
      <c r="B704" s="47" t="s">
        <v>1908</v>
      </c>
      <c r="C704" s="47" t="s">
        <v>7761</v>
      </c>
      <c r="D704" s="47" t="s">
        <v>8597</v>
      </c>
      <c r="E704" s="47" t="s">
        <v>1901</v>
      </c>
      <c r="F704" s="47" t="s">
        <v>7763</v>
      </c>
      <c r="G704" s="364">
        <v>46177</v>
      </c>
      <c r="H704" s="47" t="s">
        <v>7764</v>
      </c>
      <c r="I704" s="47" t="s">
        <v>7765</v>
      </c>
      <c r="J704" s="47" t="s">
        <v>1901</v>
      </c>
    </row>
    <row r="705" spans="2:10" ht="14.5">
      <c r="B705" s="47" t="s">
        <v>1855</v>
      </c>
      <c r="C705" s="47" t="s">
        <v>7761</v>
      </c>
      <c r="D705" s="47" t="s">
        <v>8598</v>
      </c>
      <c r="E705" s="47" t="s">
        <v>1853</v>
      </c>
      <c r="F705" s="47" t="s">
        <v>7763</v>
      </c>
      <c r="G705" s="364">
        <v>46164</v>
      </c>
      <c r="H705" s="47" t="s">
        <v>7764</v>
      </c>
      <c r="I705" s="47" t="s">
        <v>7765</v>
      </c>
      <c r="J705" s="47" t="s">
        <v>1853</v>
      </c>
    </row>
    <row r="706" spans="2:10" ht="14.5">
      <c r="B706" s="47" t="s">
        <v>1761</v>
      </c>
      <c r="C706" s="47" t="s">
        <v>7761</v>
      </c>
      <c r="D706" s="47" t="s">
        <v>8599</v>
      </c>
      <c r="E706" s="47" t="s">
        <v>1756</v>
      </c>
      <c r="F706" s="47" t="s">
        <v>7763</v>
      </c>
      <c r="G706" s="364">
        <v>46176</v>
      </c>
      <c r="H706" s="47" t="s">
        <v>7764</v>
      </c>
      <c r="I706" s="47" t="s">
        <v>7765</v>
      </c>
      <c r="J706" s="47" t="s">
        <v>1756</v>
      </c>
    </row>
    <row r="707" spans="2:10" ht="14.5">
      <c r="B707" s="47" t="s">
        <v>1859</v>
      </c>
      <c r="C707" s="47" t="s">
        <v>7761</v>
      </c>
      <c r="D707" s="47" t="s">
        <v>8600</v>
      </c>
      <c r="E707" s="47" t="s">
        <v>1858</v>
      </c>
      <c r="F707" s="47" t="s">
        <v>7763</v>
      </c>
      <c r="G707" s="364">
        <v>46161</v>
      </c>
      <c r="H707" s="47" t="s">
        <v>7764</v>
      </c>
      <c r="I707" s="47" t="s">
        <v>7765</v>
      </c>
      <c r="J707" s="47" t="s">
        <v>1858</v>
      </c>
    </row>
    <row r="708" spans="2:10" ht="14.5">
      <c r="B708" s="47" t="s">
        <v>1927</v>
      </c>
      <c r="C708" s="47" t="s">
        <v>7761</v>
      </c>
      <c r="D708" s="47" t="s">
        <v>8601</v>
      </c>
      <c r="E708" s="47" t="s">
        <v>1923</v>
      </c>
      <c r="F708" s="47" t="s">
        <v>7763</v>
      </c>
      <c r="G708" s="364">
        <v>46185</v>
      </c>
      <c r="H708" s="47" t="s">
        <v>7764</v>
      </c>
      <c r="I708" s="47" t="s">
        <v>7765</v>
      </c>
      <c r="J708" s="47" t="s">
        <v>1923</v>
      </c>
    </row>
    <row r="709" spans="2:10" ht="14.5">
      <c r="B709" s="47" t="s">
        <v>1932</v>
      </c>
      <c r="C709" s="47" t="s">
        <v>7761</v>
      </c>
      <c r="D709" s="47" t="s">
        <v>8602</v>
      </c>
      <c r="E709" s="47" t="s">
        <v>1931</v>
      </c>
      <c r="F709" s="47" t="s">
        <v>7763</v>
      </c>
      <c r="G709" s="364">
        <v>46185</v>
      </c>
      <c r="H709" s="47" t="s">
        <v>7764</v>
      </c>
      <c r="I709" s="47" t="s">
        <v>7765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8603</v>
      </c>
      <c r="E710" s="47" t="s">
        <v>1933</v>
      </c>
      <c r="F710" s="47" t="s">
        <v>7763</v>
      </c>
      <c r="G710" s="364">
        <v>46205</v>
      </c>
      <c r="H710" s="47" t="s">
        <v>7764</v>
      </c>
      <c r="I710" s="47" t="s">
        <v>7765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8604</v>
      </c>
      <c r="E711" s="47" t="s">
        <v>1939</v>
      </c>
      <c r="F711" s="47" t="s">
        <v>7763</v>
      </c>
      <c r="G711" s="364">
        <v>46205</v>
      </c>
      <c r="H711" s="47" t="s">
        <v>7764</v>
      </c>
      <c r="I711" s="47" t="s">
        <v>7765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8605</v>
      </c>
      <c r="E712" s="47" t="s">
        <v>1875</v>
      </c>
      <c r="F712" s="47" t="s">
        <v>7763</v>
      </c>
      <c r="G712" s="364">
        <v>46170</v>
      </c>
      <c r="H712" s="47" t="s">
        <v>7764</v>
      </c>
      <c r="I712" s="47" t="s">
        <v>7765</v>
      </c>
      <c r="J712" s="47" t="s">
        <v>1875</v>
      </c>
    </row>
    <row r="713" spans="2:10" ht="14.5">
      <c r="B713" s="47" t="s">
        <v>8606</v>
      </c>
      <c r="C713" s="47" t="s">
        <v>64</v>
      </c>
      <c r="D713" s="47" t="s">
        <v>8474</v>
      </c>
      <c r="E713" s="47" t="s">
        <v>8607</v>
      </c>
      <c r="F713" s="47" t="s">
        <v>7763</v>
      </c>
      <c r="G713" s="364">
        <v>46167</v>
      </c>
      <c r="H713" s="47" t="s">
        <v>7911</v>
      </c>
      <c r="I713" s="47" t="s">
        <v>7765</v>
      </c>
      <c r="J713" s="47" t="s">
        <v>8607</v>
      </c>
    </row>
    <row r="714" spans="2:10" ht="14.5">
      <c r="B714" s="47" t="s">
        <v>1863</v>
      </c>
      <c r="C714" s="47" t="s">
        <v>64</v>
      </c>
      <c r="D714" s="47" t="s">
        <v>8608</v>
      </c>
      <c r="E714" s="47" t="s">
        <v>1862</v>
      </c>
      <c r="F714" s="47" t="s">
        <v>7763</v>
      </c>
      <c r="G714" s="364">
        <v>46167</v>
      </c>
      <c r="H714" s="47" t="s">
        <v>7764</v>
      </c>
      <c r="I714" s="47" t="s">
        <v>7765</v>
      </c>
      <c r="J714" s="47" t="s">
        <v>1862</v>
      </c>
    </row>
    <row r="715" spans="2:10" ht="14.5">
      <c r="B715" s="47" t="s">
        <v>8609</v>
      </c>
      <c r="C715" s="47" t="s">
        <v>64</v>
      </c>
      <c r="D715" s="47" t="s">
        <v>8477</v>
      </c>
      <c r="E715" s="47" t="s">
        <v>1867</v>
      </c>
      <c r="F715" s="47" t="s">
        <v>7763</v>
      </c>
      <c r="G715" s="364">
        <v>46167</v>
      </c>
      <c r="H715" s="47" t="s">
        <v>7911</v>
      </c>
      <c r="I715" s="47" t="s">
        <v>7765</v>
      </c>
      <c r="J715" s="47" t="s">
        <v>1867</v>
      </c>
    </row>
    <row r="716" spans="2:10" ht="14.5">
      <c r="B716" s="47" t="s">
        <v>1827</v>
      </c>
      <c r="C716" s="47" t="s">
        <v>7761</v>
      </c>
      <c r="D716" s="47" t="s">
        <v>8610</v>
      </c>
      <c r="E716" s="47" t="s">
        <v>1825</v>
      </c>
      <c r="F716" s="47" t="s">
        <v>7763</v>
      </c>
      <c r="G716" s="364">
        <v>46164</v>
      </c>
      <c r="H716" s="47" t="s">
        <v>7764</v>
      </c>
      <c r="I716" s="47" t="s">
        <v>7765</v>
      </c>
      <c r="J716" s="47" t="s">
        <v>1825</v>
      </c>
    </row>
    <row r="717" spans="2:10" ht="14.5">
      <c r="B717" s="47" t="s">
        <v>1818</v>
      </c>
      <c r="C717" s="47" t="s">
        <v>7761</v>
      </c>
      <c r="D717" s="47" t="s">
        <v>8611</v>
      </c>
      <c r="E717" s="47" t="s">
        <v>1816</v>
      </c>
      <c r="F717" s="47" t="s">
        <v>7763</v>
      </c>
      <c r="G717" s="364">
        <v>46161</v>
      </c>
      <c r="H717" s="47" t="s">
        <v>7764</v>
      </c>
      <c r="I717" s="47" t="s">
        <v>7765</v>
      </c>
      <c r="J717" s="47" t="s">
        <v>1816</v>
      </c>
    </row>
    <row r="718" spans="2:10" ht="14.5">
      <c r="B718" s="47" t="s">
        <v>1824</v>
      </c>
      <c r="C718" s="47" t="s">
        <v>7761</v>
      </c>
      <c r="D718" s="47" t="s">
        <v>8612</v>
      </c>
      <c r="E718" s="47" t="s">
        <v>1822</v>
      </c>
      <c r="F718" s="47" t="s">
        <v>7763</v>
      </c>
      <c r="G718" s="364">
        <v>46161</v>
      </c>
      <c r="H718" s="47" t="s">
        <v>7764</v>
      </c>
      <c r="I718" s="47" t="s">
        <v>7765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8613</v>
      </c>
      <c r="E719" s="47" t="s">
        <v>1742</v>
      </c>
      <c r="F719" s="47" t="s">
        <v>7763</v>
      </c>
      <c r="G719" s="364">
        <v>46161</v>
      </c>
      <c r="H719" s="47" t="s">
        <v>7764</v>
      </c>
      <c r="I719" s="47" t="s">
        <v>7765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8614</v>
      </c>
      <c r="E720" s="47" t="s">
        <v>1740</v>
      </c>
      <c r="F720" s="47" t="s">
        <v>7763</v>
      </c>
      <c r="G720" s="364">
        <v>46161</v>
      </c>
      <c r="H720" s="47" t="s">
        <v>7764</v>
      </c>
      <c r="I720" s="47" t="s">
        <v>7765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8615</v>
      </c>
      <c r="E721" s="47" t="s">
        <v>1744</v>
      </c>
      <c r="F721" s="47" t="s">
        <v>7763</v>
      </c>
      <c r="G721" s="364">
        <v>46161</v>
      </c>
      <c r="H721" s="47" t="s">
        <v>7764</v>
      </c>
      <c r="I721" s="47" t="s">
        <v>7765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8616</v>
      </c>
      <c r="E722" s="47" t="s">
        <v>1445</v>
      </c>
      <c r="F722" s="47" t="s">
        <v>7763</v>
      </c>
      <c r="G722" s="364">
        <v>46161</v>
      </c>
      <c r="H722" s="47" t="s">
        <v>7764</v>
      </c>
      <c r="I722" s="47" t="s">
        <v>7765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8617</v>
      </c>
      <c r="E723" s="47" t="s">
        <v>584</v>
      </c>
      <c r="F723" s="47" t="s">
        <v>7763</v>
      </c>
      <c r="G723" s="364">
        <v>46173</v>
      </c>
      <c r="H723" s="47" t="s">
        <v>7764</v>
      </c>
      <c r="I723" s="47" t="s">
        <v>7765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8618</v>
      </c>
      <c r="E724" s="47" t="s">
        <v>401</v>
      </c>
      <c r="F724" s="47" t="s">
        <v>7763</v>
      </c>
      <c r="G724" s="364">
        <v>46173</v>
      </c>
      <c r="H724" s="47" t="s">
        <v>7764</v>
      </c>
      <c r="I724" s="47" t="s">
        <v>7765</v>
      </c>
      <c r="J724" s="47" t="s">
        <v>401</v>
      </c>
    </row>
    <row r="725" spans="2:10" ht="14.5">
      <c r="B725" s="47" t="s">
        <v>1751</v>
      </c>
      <c r="C725" s="47" t="s">
        <v>7761</v>
      </c>
      <c r="D725" s="47" t="s">
        <v>8619</v>
      </c>
      <c r="E725" s="47" t="s">
        <v>1749</v>
      </c>
      <c r="F725" s="47" t="s">
        <v>7763</v>
      </c>
      <c r="G725" s="364">
        <v>46163</v>
      </c>
      <c r="H725" s="47" t="s">
        <v>7764</v>
      </c>
      <c r="I725" s="47" t="s">
        <v>7765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8620</v>
      </c>
      <c r="E726" s="47" t="s">
        <v>1733</v>
      </c>
      <c r="F726" s="47" t="s">
        <v>7763</v>
      </c>
      <c r="G726" s="364">
        <v>46161</v>
      </c>
      <c r="H726" s="47" t="s">
        <v>7764</v>
      </c>
      <c r="I726" s="47" t="s">
        <v>7765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8621</v>
      </c>
      <c r="E727" s="47" t="s">
        <v>1737</v>
      </c>
      <c r="F727" s="47" t="s">
        <v>7763</v>
      </c>
      <c r="G727" s="364">
        <v>46161</v>
      </c>
      <c r="H727" s="47" t="s">
        <v>7764</v>
      </c>
      <c r="I727" s="47" t="s">
        <v>7765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8489</v>
      </c>
      <c r="E728" s="47"/>
      <c r="F728" s="47" t="s">
        <v>7763</v>
      </c>
      <c r="G728" s="364">
        <v>46195</v>
      </c>
      <c r="H728" s="47" t="s">
        <v>7764</v>
      </c>
      <c r="I728" s="47" t="s">
        <v>7765</v>
      </c>
      <c r="J728" s="47" t="s">
        <v>8622</v>
      </c>
    </row>
    <row r="729" spans="2:10" ht="14.5">
      <c r="B729" s="47" t="s">
        <v>8623</v>
      </c>
      <c r="C729" s="47" t="s">
        <v>7761</v>
      </c>
      <c r="D729" s="47" t="s">
        <v>8489</v>
      </c>
      <c r="E729" s="47"/>
      <c r="F729" s="47" t="s">
        <v>7763</v>
      </c>
      <c r="G729" s="364">
        <v>46175</v>
      </c>
      <c r="H729" s="47" t="s">
        <v>7911</v>
      </c>
      <c r="I729" s="47" t="s">
        <v>7765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8624</v>
      </c>
      <c r="E730" s="47" t="s">
        <v>1849</v>
      </c>
      <c r="F730" s="47" t="s">
        <v>7763</v>
      </c>
      <c r="G730" s="364">
        <v>46178</v>
      </c>
      <c r="H730" s="47" t="s">
        <v>7764</v>
      </c>
      <c r="I730" s="47" t="s">
        <v>7765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8625</v>
      </c>
      <c r="E731" s="47" t="s">
        <v>935</v>
      </c>
      <c r="F731" s="47" t="s">
        <v>7763</v>
      </c>
      <c r="G731" s="364">
        <v>46171</v>
      </c>
      <c r="H731" s="47" t="s">
        <v>7764</v>
      </c>
      <c r="I731" s="47" t="s">
        <v>7765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8626</v>
      </c>
      <c r="E732" s="47" t="s">
        <v>1641</v>
      </c>
      <c r="F732" s="47" t="s">
        <v>7763</v>
      </c>
      <c r="G732" s="364">
        <v>46171</v>
      </c>
      <c r="H732" s="47" t="s">
        <v>7764</v>
      </c>
      <c r="I732" s="47" t="s">
        <v>7765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8627</v>
      </c>
      <c r="E733" s="47" t="s">
        <v>1837</v>
      </c>
      <c r="F733" s="47" t="s">
        <v>7763</v>
      </c>
      <c r="G733" s="364">
        <v>46176</v>
      </c>
      <c r="H733" s="47" t="s">
        <v>7764</v>
      </c>
      <c r="I733" s="47" t="s">
        <v>7765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8628</v>
      </c>
      <c r="E734" s="47" t="s">
        <v>1647</v>
      </c>
      <c r="F734" s="47" t="s">
        <v>7763</v>
      </c>
      <c r="G734" s="364">
        <v>46160</v>
      </c>
      <c r="H734" s="47" t="s">
        <v>7764</v>
      </c>
      <c r="I734" s="47" t="s">
        <v>7765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8629</v>
      </c>
      <c r="E735" s="47" t="s">
        <v>1651</v>
      </c>
      <c r="F735" s="47" t="s">
        <v>7763</v>
      </c>
      <c r="G735" s="364">
        <v>46160</v>
      </c>
      <c r="H735" s="47" t="s">
        <v>7764</v>
      </c>
      <c r="I735" s="47" t="s">
        <v>7765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8630</v>
      </c>
      <c r="E736" s="47" t="s">
        <v>1831</v>
      </c>
      <c r="F736" s="47" t="s">
        <v>7763</v>
      </c>
      <c r="G736" s="364">
        <v>46167</v>
      </c>
      <c r="H736" s="47" t="s">
        <v>7764</v>
      </c>
      <c r="I736" s="47" t="s">
        <v>7765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8631</v>
      </c>
      <c r="E737" s="47" t="s">
        <v>1653</v>
      </c>
      <c r="F737" s="47" t="s">
        <v>7763</v>
      </c>
      <c r="G737" s="364">
        <v>46160</v>
      </c>
      <c r="H737" s="47" t="s">
        <v>7764</v>
      </c>
      <c r="I737" s="47" t="s">
        <v>7765</v>
      </c>
      <c r="J737" s="47" t="s">
        <v>1653</v>
      </c>
    </row>
    <row r="738" spans="2:10" ht="14.5">
      <c r="B738" s="47" t="s">
        <v>1815</v>
      </c>
      <c r="C738" s="47" t="s">
        <v>7761</v>
      </c>
      <c r="D738" s="47" t="s">
        <v>8632</v>
      </c>
      <c r="E738" s="47" t="s">
        <v>1813</v>
      </c>
      <c r="F738" s="47" t="s">
        <v>7763</v>
      </c>
      <c r="G738" s="364">
        <v>46153</v>
      </c>
      <c r="H738" s="47" t="s">
        <v>7764</v>
      </c>
      <c r="I738" s="47" t="s">
        <v>7765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8633</v>
      </c>
      <c r="E739" s="47" t="s">
        <v>1656</v>
      </c>
      <c r="F739" s="47" t="s">
        <v>7763</v>
      </c>
      <c r="G739" s="364">
        <v>46164</v>
      </c>
      <c r="H739" s="47" t="s">
        <v>7764</v>
      </c>
      <c r="I739" s="47" t="s">
        <v>7765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8634</v>
      </c>
      <c r="E740" s="47" t="s">
        <v>1660</v>
      </c>
      <c r="F740" s="47" t="s">
        <v>7763</v>
      </c>
      <c r="G740" s="364">
        <v>46169</v>
      </c>
      <c r="H740" s="47" t="s">
        <v>7764</v>
      </c>
      <c r="I740" s="47" t="s">
        <v>7765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8635</v>
      </c>
      <c r="E741" s="47" t="s">
        <v>1670</v>
      </c>
      <c r="F741" s="47" t="s">
        <v>7763</v>
      </c>
      <c r="G741" s="364">
        <v>46154</v>
      </c>
      <c r="H741" s="47" t="s">
        <v>7764</v>
      </c>
      <c r="I741" s="47" t="s">
        <v>7765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8636</v>
      </c>
      <c r="E742" s="47" t="s">
        <v>1664</v>
      </c>
      <c r="F742" s="47" t="s">
        <v>7763</v>
      </c>
      <c r="G742" s="364">
        <v>46154</v>
      </c>
      <c r="H742" s="47" t="s">
        <v>7764</v>
      </c>
      <c r="I742" s="47" t="s">
        <v>7765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8637</v>
      </c>
      <c r="E743" s="47" t="s">
        <v>1672</v>
      </c>
      <c r="F743" s="47" t="s">
        <v>7763</v>
      </c>
      <c r="G743" s="364">
        <v>46154</v>
      </c>
      <c r="H743" s="47" t="s">
        <v>7764</v>
      </c>
      <c r="I743" s="47" t="s">
        <v>7765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8638</v>
      </c>
      <c r="E744" s="47" t="s">
        <v>1690</v>
      </c>
      <c r="F744" s="47" t="s">
        <v>7763</v>
      </c>
      <c r="G744" s="364">
        <v>46171</v>
      </c>
      <c r="H744" s="47" t="s">
        <v>7764</v>
      </c>
      <c r="I744" s="47" t="s">
        <v>7765</v>
      </c>
      <c r="J744" s="47" t="s">
        <v>1690</v>
      </c>
    </row>
    <row r="745" spans="2:10" ht="14.5">
      <c r="B745" s="47" t="s">
        <v>1810</v>
      </c>
      <c r="C745" s="47" t="s">
        <v>7761</v>
      </c>
      <c r="D745" s="47" t="s">
        <v>8639</v>
      </c>
      <c r="E745" s="47" t="s">
        <v>1801</v>
      </c>
      <c r="F745" s="47" t="s">
        <v>7763</v>
      </c>
      <c r="G745" s="364">
        <v>46153</v>
      </c>
      <c r="H745" s="47" t="s">
        <v>7764</v>
      </c>
      <c r="I745" s="47" t="s">
        <v>7765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8640</v>
      </c>
      <c r="E746" s="47" t="s">
        <v>1679</v>
      </c>
      <c r="F746" s="47" t="s">
        <v>7763</v>
      </c>
      <c r="G746" s="364">
        <v>46171</v>
      </c>
      <c r="H746" s="47" t="s">
        <v>7764</v>
      </c>
      <c r="I746" s="47" t="s">
        <v>7765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8641</v>
      </c>
      <c r="E747" s="47" t="s">
        <v>1697</v>
      </c>
      <c r="F747" s="47" t="s">
        <v>7763</v>
      </c>
      <c r="G747" s="364">
        <v>46171</v>
      </c>
      <c r="H747" s="47" t="s">
        <v>7764</v>
      </c>
      <c r="I747" s="47" t="s">
        <v>7765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8642</v>
      </c>
      <c r="E748" s="47" t="s">
        <v>1701</v>
      </c>
      <c r="F748" s="47" t="s">
        <v>7763</v>
      </c>
      <c r="G748" s="364">
        <v>46171</v>
      </c>
      <c r="H748" s="47" t="s">
        <v>7764</v>
      </c>
      <c r="I748" s="47" t="s">
        <v>7765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8643</v>
      </c>
      <c r="E749" s="47" t="s">
        <v>1704</v>
      </c>
      <c r="F749" s="47" t="s">
        <v>7763</v>
      </c>
      <c r="G749" s="364">
        <v>46171</v>
      </c>
      <c r="H749" s="47" t="s">
        <v>7764</v>
      </c>
      <c r="I749" s="47" t="s">
        <v>7765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8644</v>
      </c>
      <c r="E750" s="47" t="s">
        <v>1706</v>
      </c>
      <c r="F750" s="47" t="s">
        <v>7763</v>
      </c>
      <c r="G750" s="364">
        <v>46169</v>
      </c>
      <c r="H750" s="47" t="s">
        <v>7764</v>
      </c>
      <c r="I750" s="47" t="s">
        <v>7765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8645</v>
      </c>
      <c r="E751" s="47" t="s">
        <v>1799</v>
      </c>
      <c r="F751" s="47" t="s">
        <v>7763</v>
      </c>
      <c r="G751" s="364">
        <v>46156</v>
      </c>
      <c r="H751" s="47" t="s">
        <v>7764</v>
      </c>
      <c r="I751" s="47" t="s">
        <v>7765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8646</v>
      </c>
      <c r="E752" s="47" t="s">
        <v>1709</v>
      </c>
      <c r="F752" s="47" t="s">
        <v>7763</v>
      </c>
      <c r="G752" s="364">
        <v>46171</v>
      </c>
      <c r="H752" s="47" t="s">
        <v>7764</v>
      </c>
      <c r="I752" s="47" t="s">
        <v>7765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8647</v>
      </c>
      <c r="E753" s="47" t="s">
        <v>1793</v>
      </c>
      <c r="F753" s="47" t="s">
        <v>7763</v>
      </c>
      <c r="G753" s="364">
        <v>46164</v>
      </c>
      <c r="H753" s="47" t="s">
        <v>7764</v>
      </c>
      <c r="I753" s="47" t="s">
        <v>7765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8648</v>
      </c>
      <c r="E754" s="47" t="s">
        <v>1713</v>
      </c>
      <c r="F754" s="47" t="s">
        <v>7763</v>
      </c>
      <c r="G754" s="364">
        <v>46171</v>
      </c>
      <c r="H754" s="47" t="s">
        <v>7764</v>
      </c>
      <c r="I754" s="47" t="s">
        <v>7765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8649</v>
      </c>
      <c r="E755" s="47" t="s">
        <v>1715</v>
      </c>
      <c r="F755" s="47" t="s">
        <v>7763</v>
      </c>
      <c r="G755" s="364">
        <v>46171</v>
      </c>
      <c r="H755" s="47" t="s">
        <v>7764</v>
      </c>
      <c r="I755" s="47" t="s">
        <v>7765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8650</v>
      </c>
      <c r="E756" s="47" t="s">
        <v>1787</v>
      </c>
      <c r="F756" s="47" t="s">
        <v>7763</v>
      </c>
      <c r="G756" s="364">
        <v>46156</v>
      </c>
      <c r="H756" s="47" t="s">
        <v>7764</v>
      </c>
      <c r="I756" s="47" t="s">
        <v>7765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8651</v>
      </c>
      <c r="E757" s="47" t="s">
        <v>1717</v>
      </c>
      <c r="F757" s="47" t="s">
        <v>7763</v>
      </c>
      <c r="G757" s="364">
        <v>46171</v>
      </c>
      <c r="H757" s="47" t="s">
        <v>7764</v>
      </c>
      <c r="I757" s="47" t="s">
        <v>7765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8652</v>
      </c>
      <c r="E758" s="47" t="s">
        <v>1766</v>
      </c>
      <c r="F758" s="47" t="s">
        <v>7763</v>
      </c>
      <c r="G758" s="364">
        <v>46160</v>
      </c>
      <c r="H758" s="47" t="s">
        <v>7764</v>
      </c>
      <c r="I758" s="47" t="s">
        <v>7765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8653</v>
      </c>
      <c r="E759" s="47" t="s">
        <v>1785</v>
      </c>
      <c r="F759" s="47" t="s">
        <v>7763</v>
      </c>
      <c r="G759" s="364">
        <v>46164</v>
      </c>
      <c r="H759" s="47" t="s">
        <v>7764</v>
      </c>
      <c r="I759" s="47" t="s">
        <v>7765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8654</v>
      </c>
      <c r="E760" s="47" t="s">
        <v>1772</v>
      </c>
      <c r="F760" s="47" t="s">
        <v>7763</v>
      </c>
      <c r="G760" s="364">
        <v>46160</v>
      </c>
      <c r="H760" s="47" t="s">
        <v>7764</v>
      </c>
      <c r="I760" s="47" t="s">
        <v>7765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8655</v>
      </c>
      <c r="E761" s="47" t="s">
        <v>1779</v>
      </c>
      <c r="F761" s="47" t="s">
        <v>7763</v>
      </c>
      <c r="G761" s="364">
        <v>46164</v>
      </c>
      <c r="H761" s="47" t="s">
        <v>7764</v>
      </c>
      <c r="I761" s="47" t="s">
        <v>7765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8656</v>
      </c>
      <c r="E762" s="47" t="s">
        <v>1688</v>
      </c>
      <c r="F762" s="47" t="s">
        <v>7763</v>
      </c>
      <c r="G762" s="364">
        <v>46156</v>
      </c>
      <c r="H762" s="47" t="s">
        <v>7764</v>
      </c>
      <c r="I762" s="47" t="s">
        <v>7765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8657</v>
      </c>
      <c r="E763" s="47" t="s">
        <v>1678</v>
      </c>
      <c r="F763" s="47" t="s">
        <v>7763</v>
      </c>
      <c r="G763" s="364">
        <v>46156</v>
      </c>
      <c r="H763" s="47" t="s">
        <v>7764</v>
      </c>
      <c r="I763" s="47" t="s">
        <v>7765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8658</v>
      </c>
      <c r="E764" s="47" t="s">
        <v>1587</v>
      </c>
      <c r="F764" s="47" t="s">
        <v>7763</v>
      </c>
      <c r="G764" s="364">
        <v>46163</v>
      </c>
      <c r="H764" s="47" t="s">
        <v>7764</v>
      </c>
      <c r="I764" s="47" t="s">
        <v>7765</v>
      </c>
      <c r="J764" s="47" t="s">
        <v>1587</v>
      </c>
    </row>
    <row r="765" spans="2:10" ht="14.5">
      <c r="B765" s="47" t="s">
        <v>1416</v>
      </c>
      <c r="C765" s="47" t="s">
        <v>7761</v>
      </c>
      <c r="D765" s="47" t="s">
        <v>8659</v>
      </c>
      <c r="E765" s="47" t="s">
        <v>1415</v>
      </c>
      <c r="F765" s="47" t="s">
        <v>7763</v>
      </c>
      <c r="G765" s="364">
        <v>46168</v>
      </c>
      <c r="H765" s="47" t="s">
        <v>7764</v>
      </c>
      <c r="I765" s="47" t="s">
        <v>7765</v>
      </c>
      <c r="J765" s="47" t="s">
        <v>1415</v>
      </c>
    </row>
    <row r="766" spans="2:10" ht="14.5">
      <c r="B766" s="47" t="s">
        <v>1422</v>
      </c>
      <c r="C766" s="47" t="s">
        <v>7761</v>
      </c>
      <c r="D766" s="47" t="s">
        <v>8660</v>
      </c>
      <c r="E766" s="47" t="s">
        <v>1421</v>
      </c>
      <c r="F766" s="47" t="s">
        <v>7763</v>
      </c>
      <c r="G766" s="364">
        <v>46168</v>
      </c>
      <c r="H766" s="47" t="s">
        <v>7764</v>
      </c>
      <c r="I766" s="47" t="s">
        <v>7765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8661</v>
      </c>
      <c r="E767" s="47" t="s">
        <v>1481</v>
      </c>
      <c r="F767" s="47" t="s">
        <v>7763</v>
      </c>
      <c r="G767" s="364">
        <v>46169</v>
      </c>
      <c r="H767" s="47" t="s">
        <v>7764</v>
      </c>
      <c r="I767" s="47" t="s">
        <v>7765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8662</v>
      </c>
      <c r="E768" s="47" t="s">
        <v>1576</v>
      </c>
      <c r="F768" s="47" t="s">
        <v>7763</v>
      </c>
      <c r="G768" s="364">
        <v>46176</v>
      </c>
      <c r="H768" s="47" t="s">
        <v>7764</v>
      </c>
      <c r="I768" s="47" t="s">
        <v>7765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8663</v>
      </c>
      <c r="E769" s="47" t="s">
        <v>1582</v>
      </c>
      <c r="F769" s="47" t="s">
        <v>7763</v>
      </c>
      <c r="G769" s="364">
        <v>46176</v>
      </c>
      <c r="H769" s="47" t="s">
        <v>7764</v>
      </c>
      <c r="I769" s="47" t="s">
        <v>7765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8664</v>
      </c>
      <c r="E770" s="47" t="s">
        <v>1639</v>
      </c>
      <c r="F770" s="47" t="s">
        <v>7763</v>
      </c>
      <c r="G770" s="364">
        <v>46171</v>
      </c>
      <c r="H770" s="47" t="s">
        <v>7764</v>
      </c>
      <c r="I770" s="47" t="s">
        <v>7765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8665</v>
      </c>
      <c r="E771" s="47" t="s">
        <v>921</v>
      </c>
      <c r="F771" s="47" t="s">
        <v>7763</v>
      </c>
      <c r="G771" s="364">
        <v>46171</v>
      </c>
      <c r="H771" s="47" t="s">
        <v>7764</v>
      </c>
      <c r="I771" s="47" t="s">
        <v>7765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8666</v>
      </c>
      <c r="E772" s="47" t="s">
        <v>1518</v>
      </c>
      <c r="F772" s="47" t="s">
        <v>7763</v>
      </c>
      <c r="G772" s="364">
        <v>46176</v>
      </c>
      <c r="H772" s="47" t="s">
        <v>7764</v>
      </c>
      <c r="I772" s="47" t="s">
        <v>7765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8667</v>
      </c>
      <c r="E773" s="47" t="s">
        <v>1530</v>
      </c>
      <c r="F773" s="47" t="s">
        <v>7763</v>
      </c>
      <c r="G773" s="364">
        <v>46175</v>
      </c>
      <c r="H773" s="47" t="s">
        <v>7764</v>
      </c>
      <c r="I773" s="47" t="s">
        <v>7765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8668</v>
      </c>
      <c r="E774" s="47" t="s">
        <v>1634</v>
      </c>
      <c r="F774" s="47" t="s">
        <v>7763</v>
      </c>
      <c r="G774" s="364">
        <v>46154</v>
      </c>
      <c r="H774" s="47" t="s">
        <v>7764</v>
      </c>
      <c r="I774" s="47" t="s">
        <v>7765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8669</v>
      </c>
      <c r="E775" s="47" t="s">
        <v>1637</v>
      </c>
      <c r="F775" s="47" t="s">
        <v>7763</v>
      </c>
      <c r="G775" s="364">
        <v>46154</v>
      </c>
      <c r="H775" s="47" t="s">
        <v>7764</v>
      </c>
      <c r="I775" s="47" t="s">
        <v>7765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8670</v>
      </c>
      <c r="E776" s="47" t="s">
        <v>1626</v>
      </c>
      <c r="F776" s="47" t="s">
        <v>7763</v>
      </c>
      <c r="G776" s="364">
        <v>46154</v>
      </c>
      <c r="H776" s="47" t="s">
        <v>7764</v>
      </c>
      <c r="I776" s="47" t="s">
        <v>7765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8671</v>
      </c>
      <c r="E777" s="47" t="s">
        <v>1554</v>
      </c>
      <c r="F777" s="47" t="s">
        <v>7763</v>
      </c>
      <c r="G777" s="364">
        <v>46169</v>
      </c>
      <c r="H777" s="47" t="s">
        <v>7764</v>
      </c>
      <c r="I777" s="47" t="s">
        <v>7765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8672</v>
      </c>
      <c r="E778" s="47" t="s">
        <v>1621</v>
      </c>
      <c r="F778" s="47" t="s">
        <v>7763</v>
      </c>
      <c r="G778" s="364">
        <v>46164</v>
      </c>
      <c r="H778" s="47" t="s">
        <v>7764</v>
      </c>
      <c r="I778" s="47" t="s">
        <v>7765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8673</v>
      </c>
      <c r="E779" s="47" t="s">
        <v>1565</v>
      </c>
      <c r="F779" s="47" t="s">
        <v>7763</v>
      </c>
      <c r="G779" s="364">
        <v>46176</v>
      </c>
      <c r="H779" s="47" t="s">
        <v>7764</v>
      </c>
      <c r="I779" s="47" t="s">
        <v>7765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8674</v>
      </c>
      <c r="E780" s="47" t="s">
        <v>1558</v>
      </c>
      <c r="F780" s="47" t="s">
        <v>7763</v>
      </c>
      <c r="G780" s="364">
        <v>46171</v>
      </c>
      <c r="H780" s="47" t="s">
        <v>7764</v>
      </c>
      <c r="I780" s="47" t="s">
        <v>7765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8675</v>
      </c>
      <c r="E781" s="47" t="s">
        <v>1592</v>
      </c>
      <c r="F781" s="47" t="s">
        <v>7763</v>
      </c>
      <c r="G781" s="364">
        <v>46158</v>
      </c>
      <c r="H781" s="47" t="s">
        <v>7764</v>
      </c>
      <c r="I781" s="47" t="s">
        <v>7765</v>
      </c>
      <c r="J781" s="47" t="s">
        <v>1592</v>
      </c>
    </row>
    <row r="782" spans="2:10" ht="14.5">
      <c r="B782" s="47" t="s">
        <v>8676</v>
      </c>
      <c r="C782" s="47" t="s">
        <v>64</v>
      </c>
      <c r="D782" s="47" t="s">
        <v>8585</v>
      </c>
      <c r="E782" s="47" t="s">
        <v>8677</v>
      </c>
      <c r="F782" s="47" t="s">
        <v>7763</v>
      </c>
      <c r="G782" s="364">
        <v>46161</v>
      </c>
      <c r="H782" s="47" t="s">
        <v>7911</v>
      </c>
      <c r="I782" s="47" t="s">
        <v>7765</v>
      </c>
      <c r="J782" s="47" t="s">
        <v>8677</v>
      </c>
    </row>
    <row r="783" spans="2:10" ht="14.5">
      <c r="B783" s="47" t="s">
        <v>1611</v>
      </c>
      <c r="C783" s="47" t="s">
        <v>64</v>
      </c>
      <c r="D783" s="47" t="s">
        <v>8678</v>
      </c>
      <c r="E783" s="47" t="s">
        <v>1610</v>
      </c>
      <c r="F783" s="47" t="s">
        <v>7763</v>
      </c>
      <c r="G783" s="364">
        <v>46164</v>
      </c>
      <c r="H783" s="47" t="s">
        <v>7764</v>
      </c>
      <c r="I783" s="47" t="s">
        <v>7765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8679</v>
      </c>
      <c r="E784" s="47" t="s">
        <v>1607</v>
      </c>
      <c r="F784" s="47" t="s">
        <v>7763</v>
      </c>
      <c r="G784" s="364">
        <v>46158</v>
      </c>
      <c r="H784" s="47" t="s">
        <v>7764</v>
      </c>
      <c r="I784" s="47" t="s">
        <v>7765</v>
      </c>
      <c r="J784" s="47" t="s">
        <v>1607</v>
      </c>
    </row>
    <row r="785" spans="2:10" ht="14.5">
      <c r="B785" s="47" t="s">
        <v>1403</v>
      </c>
      <c r="C785" s="47" t="s">
        <v>7761</v>
      </c>
      <c r="D785" s="47" t="s">
        <v>8680</v>
      </c>
      <c r="E785" s="47" t="s">
        <v>1399</v>
      </c>
      <c r="F785" s="47" t="s">
        <v>7763</v>
      </c>
      <c r="G785" s="364">
        <v>46160</v>
      </c>
      <c r="H785" s="47" t="s">
        <v>7764</v>
      </c>
      <c r="I785" s="47" t="s">
        <v>7765</v>
      </c>
      <c r="J785" s="47" t="s">
        <v>1399</v>
      </c>
    </row>
    <row r="786" spans="2:10" ht="14.5">
      <c r="B786" s="47" t="s">
        <v>1539</v>
      </c>
      <c r="C786" s="47" t="s">
        <v>7761</v>
      </c>
      <c r="D786" s="47" t="s">
        <v>8681</v>
      </c>
      <c r="E786" s="47" t="s">
        <v>1536</v>
      </c>
      <c r="F786" s="47" t="s">
        <v>7763</v>
      </c>
      <c r="G786" s="364">
        <v>46178</v>
      </c>
      <c r="H786" s="47" t="s">
        <v>7764</v>
      </c>
      <c r="I786" s="47" t="s">
        <v>7765</v>
      </c>
      <c r="J786" s="47" t="s">
        <v>1536</v>
      </c>
    </row>
    <row r="787" spans="2:10" ht="14.5">
      <c r="B787" s="47" t="s">
        <v>1411</v>
      </c>
      <c r="C787" s="47" t="s">
        <v>7761</v>
      </c>
      <c r="D787" s="47" t="s">
        <v>8682</v>
      </c>
      <c r="E787" s="47" t="s">
        <v>1409</v>
      </c>
      <c r="F787" s="47" t="s">
        <v>7763</v>
      </c>
      <c r="G787" s="364">
        <v>46160</v>
      </c>
      <c r="H787" s="47" t="s">
        <v>7764</v>
      </c>
      <c r="I787" s="47" t="s">
        <v>7765</v>
      </c>
      <c r="J787" s="47" t="s">
        <v>1409</v>
      </c>
    </row>
    <row r="788" spans="2:10" ht="14.5">
      <c r="B788" s="47" t="s">
        <v>1545</v>
      </c>
      <c r="C788" s="47" t="s">
        <v>7761</v>
      </c>
      <c r="D788" s="47" t="s">
        <v>8683</v>
      </c>
      <c r="E788" s="47" t="s">
        <v>1543</v>
      </c>
      <c r="F788" s="47" t="s">
        <v>7763</v>
      </c>
      <c r="G788" s="364">
        <v>46178</v>
      </c>
      <c r="H788" s="47" t="s">
        <v>7764</v>
      </c>
      <c r="I788" s="47" t="s">
        <v>7765</v>
      </c>
      <c r="J788" s="47" t="s">
        <v>1543</v>
      </c>
    </row>
    <row r="789" spans="2:10" ht="14.5">
      <c r="B789" s="47" t="s">
        <v>1549</v>
      </c>
      <c r="C789" s="47" t="s">
        <v>7761</v>
      </c>
      <c r="D789" s="47" t="s">
        <v>8684</v>
      </c>
      <c r="E789" s="47" t="s">
        <v>1547</v>
      </c>
      <c r="F789" s="47" t="s">
        <v>7763</v>
      </c>
      <c r="G789" s="364">
        <v>46178</v>
      </c>
      <c r="H789" s="47" t="s">
        <v>7764</v>
      </c>
      <c r="I789" s="47" t="s">
        <v>7765</v>
      </c>
      <c r="J789" s="47" t="s">
        <v>1547</v>
      </c>
    </row>
    <row r="790" spans="2:10" ht="14.5">
      <c r="B790" s="47" t="s">
        <v>1616</v>
      </c>
      <c r="C790" s="47" t="s">
        <v>7761</v>
      </c>
      <c r="D790" s="47" t="s">
        <v>8685</v>
      </c>
      <c r="E790" s="47" t="s">
        <v>1614</v>
      </c>
      <c r="F790" s="47" t="s">
        <v>7763</v>
      </c>
      <c r="G790" s="364">
        <v>46182</v>
      </c>
      <c r="H790" s="47" t="s">
        <v>7764</v>
      </c>
      <c r="I790" s="47" t="s">
        <v>7765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8686</v>
      </c>
      <c r="E791" s="47" t="s">
        <v>1426</v>
      </c>
      <c r="F791" s="47" t="s">
        <v>7763</v>
      </c>
      <c r="G791" s="364">
        <v>46153</v>
      </c>
      <c r="H791" s="47" t="s">
        <v>7764</v>
      </c>
      <c r="I791" s="47" t="s">
        <v>7765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8687</v>
      </c>
      <c r="E792" s="47" t="s">
        <v>1435</v>
      </c>
      <c r="F792" s="47" t="s">
        <v>7763</v>
      </c>
      <c r="G792" s="364">
        <v>46153</v>
      </c>
      <c r="H792" s="47" t="s">
        <v>7764</v>
      </c>
      <c r="I792" s="47" t="s">
        <v>7765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8688</v>
      </c>
      <c r="E793" s="47" t="s">
        <v>1437</v>
      </c>
      <c r="F793" s="47" t="s">
        <v>7763</v>
      </c>
      <c r="G793" s="364">
        <v>46153</v>
      </c>
      <c r="H793" s="47" t="s">
        <v>7764</v>
      </c>
      <c r="I793" s="47" t="s">
        <v>7765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8689</v>
      </c>
      <c r="E794" s="47" t="s">
        <v>1439</v>
      </c>
      <c r="F794" s="47" t="s">
        <v>7763</v>
      </c>
      <c r="G794" s="364">
        <v>46164</v>
      </c>
      <c r="H794" s="47" t="s">
        <v>7764</v>
      </c>
      <c r="I794" s="47" t="s">
        <v>7765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8690</v>
      </c>
      <c r="E795" s="47" t="s">
        <v>1444</v>
      </c>
      <c r="F795" s="47" t="s">
        <v>7763</v>
      </c>
      <c r="G795" s="364">
        <v>46164</v>
      </c>
      <c r="H795" s="47" t="s">
        <v>7764</v>
      </c>
      <c r="I795" s="47" t="s">
        <v>7765</v>
      </c>
      <c r="J795" s="47" t="s">
        <v>1444</v>
      </c>
    </row>
    <row r="796" spans="2:10" ht="14.5">
      <c r="B796" s="47" t="s">
        <v>8691</v>
      </c>
      <c r="C796" s="47" t="s">
        <v>64</v>
      </c>
      <c r="D796" s="47" t="s">
        <v>8484</v>
      </c>
      <c r="E796" s="47" t="s">
        <v>1448</v>
      </c>
      <c r="F796" s="47" t="s">
        <v>7763</v>
      </c>
      <c r="G796" s="364">
        <v>46164</v>
      </c>
      <c r="H796" s="47" t="s">
        <v>7911</v>
      </c>
      <c r="I796" s="47" t="s">
        <v>7765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8692</v>
      </c>
      <c r="E797" s="47" t="s">
        <v>911</v>
      </c>
      <c r="F797" s="47" t="s">
        <v>7763</v>
      </c>
      <c r="G797" s="364">
        <v>46163</v>
      </c>
      <c r="H797" s="47" t="s">
        <v>7764</v>
      </c>
      <c r="I797" s="47" t="s">
        <v>7765</v>
      </c>
      <c r="J797" s="47" t="s">
        <v>911</v>
      </c>
    </row>
    <row r="798" spans="2:10" ht="14.5">
      <c r="B798" s="47" t="s">
        <v>8693</v>
      </c>
      <c r="C798" s="47" t="s">
        <v>64</v>
      </c>
      <c r="D798" s="47" t="s">
        <v>8482</v>
      </c>
      <c r="E798" s="47" t="s">
        <v>1455</v>
      </c>
      <c r="F798" s="47" t="s">
        <v>7763</v>
      </c>
      <c r="G798" s="364">
        <v>46164</v>
      </c>
      <c r="H798" s="47" t="s">
        <v>7911</v>
      </c>
      <c r="I798" s="47" t="s">
        <v>7765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8694</v>
      </c>
      <c r="E799" s="47" t="s">
        <v>1458</v>
      </c>
      <c r="F799" s="47" t="s">
        <v>7763</v>
      </c>
      <c r="G799" s="364">
        <v>46164</v>
      </c>
      <c r="H799" s="47" t="s">
        <v>7764</v>
      </c>
      <c r="I799" s="47" t="s">
        <v>7765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8695</v>
      </c>
      <c r="E800" s="47" t="s">
        <v>916</v>
      </c>
      <c r="F800" s="47" t="s">
        <v>7763</v>
      </c>
      <c r="G800" s="364">
        <v>46164</v>
      </c>
      <c r="H800" s="47" t="s">
        <v>7764</v>
      </c>
      <c r="I800" s="47" t="s">
        <v>7765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8696</v>
      </c>
      <c r="E801" s="47" t="s">
        <v>1465</v>
      </c>
      <c r="F801" s="47" t="s">
        <v>7763</v>
      </c>
      <c r="G801" s="364">
        <v>46164</v>
      </c>
      <c r="H801" s="47" t="s">
        <v>7764</v>
      </c>
      <c r="I801" s="47" t="s">
        <v>7765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8697</v>
      </c>
      <c r="E802" s="47" t="s">
        <v>1469</v>
      </c>
      <c r="F802" s="47" t="s">
        <v>7763</v>
      </c>
      <c r="G802" s="364">
        <v>46164</v>
      </c>
      <c r="H802" s="47" t="s">
        <v>7764</v>
      </c>
      <c r="I802" s="47" t="s">
        <v>7765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8698</v>
      </c>
      <c r="E803" s="47" t="s">
        <v>1467</v>
      </c>
      <c r="F803" s="47" t="s">
        <v>7763</v>
      </c>
      <c r="G803" s="364">
        <v>46164</v>
      </c>
      <c r="H803" s="47" t="s">
        <v>7764</v>
      </c>
      <c r="I803" s="47" t="s">
        <v>7765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8699</v>
      </c>
      <c r="E804" s="47" t="s">
        <v>1476</v>
      </c>
      <c r="F804" s="47" t="s">
        <v>7763</v>
      </c>
      <c r="G804" s="364">
        <v>46164</v>
      </c>
      <c r="H804" s="47" t="s">
        <v>7764</v>
      </c>
      <c r="I804" s="47" t="s">
        <v>7765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8700</v>
      </c>
      <c r="E805" s="47" t="s">
        <v>1471</v>
      </c>
      <c r="F805" s="47" t="s">
        <v>7763</v>
      </c>
      <c r="G805" s="364">
        <v>46164</v>
      </c>
      <c r="H805" s="47" t="s">
        <v>7764</v>
      </c>
      <c r="I805" s="47" t="s">
        <v>7765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8701</v>
      </c>
      <c r="E806" s="47" t="s">
        <v>1495</v>
      </c>
      <c r="F806" s="47" t="s">
        <v>7763</v>
      </c>
      <c r="G806" s="364">
        <v>46160</v>
      </c>
      <c r="H806" s="47" t="s">
        <v>7764</v>
      </c>
      <c r="I806" s="47" t="s">
        <v>7765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8702</v>
      </c>
      <c r="E807" s="47" t="s">
        <v>1499</v>
      </c>
      <c r="F807" s="47" t="s">
        <v>7763</v>
      </c>
      <c r="G807" s="364">
        <v>46160</v>
      </c>
      <c r="H807" s="47" t="s">
        <v>7764</v>
      </c>
      <c r="I807" s="47" t="s">
        <v>7765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8703</v>
      </c>
      <c r="E808" s="47" t="s">
        <v>1482</v>
      </c>
      <c r="F808" s="47" t="s">
        <v>7763</v>
      </c>
      <c r="G808" s="364">
        <v>46160</v>
      </c>
      <c r="H808" s="47" t="s">
        <v>7764</v>
      </c>
      <c r="I808" s="47" t="s">
        <v>7765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8704</v>
      </c>
      <c r="E809" s="47" t="s">
        <v>1503</v>
      </c>
      <c r="F809" s="47" t="s">
        <v>7763</v>
      </c>
      <c r="G809" s="364">
        <v>46160</v>
      </c>
      <c r="H809" s="47" t="s">
        <v>7764</v>
      </c>
      <c r="I809" s="47" t="s">
        <v>7765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8705</v>
      </c>
      <c r="E810" s="47" t="s">
        <v>1506</v>
      </c>
      <c r="F810" s="47" t="s">
        <v>7763</v>
      </c>
      <c r="G810" s="364">
        <v>46171</v>
      </c>
      <c r="H810" s="47" t="s">
        <v>7764</v>
      </c>
      <c r="I810" s="47" t="s">
        <v>7765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8706</v>
      </c>
      <c r="E811" s="47" t="s">
        <v>1511</v>
      </c>
      <c r="F811" s="47" t="s">
        <v>7763</v>
      </c>
      <c r="G811" s="364">
        <v>46171</v>
      </c>
      <c r="H811" s="47" t="s">
        <v>7764</v>
      </c>
      <c r="I811" s="47" t="s">
        <v>7765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8707</v>
      </c>
      <c r="E812" s="47" t="s">
        <v>1513</v>
      </c>
      <c r="F812" s="47" t="s">
        <v>7763</v>
      </c>
      <c r="G812" s="364">
        <v>46176</v>
      </c>
      <c r="H812" s="47" t="s">
        <v>7764</v>
      </c>
      <c r="I812" s="47" t="s">
        <v>7765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8708</v>
      </c>
      <c r="E813" s="47" t="s">
        <v>1489</v>
      </c>
      <c r="F813" s="47" t="s">
        <v>7763</v>
      </c>
      <c r="G813" s="364">
        <v>46156</v>
      </c>
      <c r="H813" s="47" t="s">
        <v>7764</v>
      </c>
      <c r="I813" s="47" t="s">
        <v>7765</v>
      </c>
      <c r="J813" s="47" t="s">
        <v>1489</v>
      </c>
    </row>
    <row r="814" spans="2:10" ht="14.5">
      <c r="B814" s="47" t="s">
        <v>7234</v>
      </c>
      <c r="C814" s="47" t="s">
        <v>64</v>
      </c>
      <c r="D814" s="47" t="s">
        <v>8709</v>
      </c>
      <c r="E814" s="47" t="s">
        <v>8710</v>
      </c>
      <c r="F814" s="47" t="s">
        <v>7810</v>
      </c>
      <c r="G814" s="364">
        <v>46132</v>
      </c>
      <c r="H814" s="47" t="s">
        <v>7764</v>
      </c>
      <c r="I814" s="47" t="s">
        <v>7765</v>
      </c>
      <c r="J814" s="47" t="s">
        <v>7228</v>
      </c>
    </row>
    <row r="815" spans="2:10" ht="14.5">
      <c r="B815" s="47" t="s">
        <v>1336</v>
      </c>
      <c r="C815" s="47" t="s">
        <v>64</v>
      </c>
      <c r="D815" s="47" t="s">
        <v>8711</v>
      </c>
      <c r="E815" s="47" t="s">
        <v>1332</v>
      </c>
      <c r="F815" s="47" t="s">
        <v>7763</v>
      </c>
      <c r="G815" s="364">
        <v>46160</v>
      </c>
      <c r="H815" s="47" t="s">
        <v>7764</v>
      </c>
      <c r="I815" s="47" t="s">
        <v>7765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8712</v>
      </c>
      <c r="E816" s="47" t="s">
        <v>1219</v>
      </c>
      <c r="F816" s="47" t="s">
        <v>7763</v>
      </c>
      <c r="G816" s="364">
        <v>46160</v>
      </c>
      <c r="H816" s="47" t="s">
        <v>7764</v>
      </c>
      <c r="I816" s="47" t="s">
        <v>7765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8713</v>
      </c>
      <c r="E817" s="47" t="s">
        <v>1227</v>
      </c>
      <c r="F817" s="47" t="s">
        <v>7763</v>
      </c>
      <c r="G817" s="364">
        <v>46160</v>
      </c>
      <c r="H817" s="47" t="s">
        <v>7764</v>
      </c>
      <c r="I817" s="47" t="s">
        <v>7765</v>
      </c>
      <c r="J817" s="47" t="s">
        <v>1227</v>
      </c>
    </row>
    <row r="818" spans="2:10" ht="14.5">
      <c r="B818" s="47" t="s">
        <v>1301</v>
      </c>
      <c r="C818" s="47" t="s">
        <v>7761</v>
      </c>
      <c r="D818" s="47" t="s">
        <v>8714</v>
      </c>
      <c r="E818" s="47" t="s">
        <v>1297</v>
      </c>
      <c r="F818" s="47" t="s">
        <v>7763</v>
      </c>
      <c r="G818" s="364">
        <v>46155</v>
      </c>
      <c r="H818" s="47" t="s">
        <v>7764</v>
      </c>
      <c r="I818" s="47" t="s">
        <v>7765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8715</v>
      </c>
      <c r="E819" s="47" t="s">
        <v>1305</v>
      </c>
      <c r="F819" s="47" t="s">
        <v>7763</v>
      </c>
      <c r="G819" s="364">
        <v>46163</v>
      </c>
      <c r="H819" s="47" t="s">
        <v>7764</v>
      </c>
      <c r="I819" s="47" t="s">
        <v>7765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8716</v>
      </c>
      <c r="E820" s="47" t="s">
        <v>1325</v>
      </c>
      <c r="F820" s="47" t="s">
        <v>7763</v>
      </c>
      <c r="G820" s="364">
        <v>46160</v>
      </c>
      <c r="H820" s="47" t="s">
        <v>7764</v>
      </c>
      <c r="I820" s="47" t="s">
        <v>7765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8717</v>
      </c>
      <c r="E821" s="47" t="s">
        <v>1337</v>
      </c>
      <c r="F821" s="47" t="s">
        <v>7763</v>
      </c>
      <c r="G821" s="364">
        <v>46160</v>
      </c>
      <c r="H821" s="47" t="s">
        <v>7764</v>
      </c>
      <c r="I821" s="47" t="s">
        <v>7765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8718</v>
      </c>
      <c r="E822" s="47" t="s">
        <v>1341</v>
      </c>
      <c r="F822" s="47" t="s">
        <v>7763</v>
      </c>
      <c r="G822" s="364">
        <v>46162</v>
      </c>
      <c r="H822" s="47" t="s">
        <v>7764</v>
      </c>
      <c r="I822" s="47" t="s">
        <v>7765</v>
      </c>
      <c r="J822" s="47" t="s">
        <v>1341</v>
      </c>
    </row>
    <row r="823" spans="2:10" ht="14.5">
      <c r="B823" s="47" t="s">
        <v>1349</v>
      </c>
      <c r="C823" s="47" t="s">
        <v>7761</v>
      </c>
      <c r="D823" s="47" t="s">
        <v>8719</v>
      </c>
      <c r="E823" s="47" t="s">
        <v>1346</v>
      </c>
      <c r="F823" s="47" t="s">
        <v>7763</v>
      </c>
      <c r="G823" s="364">
        <v>46168</v>
      </c>
      <c r="H823" s="47" t="s">
        <v>7764</v>
      </c>
      <c r="I823" s="47" t="s">
        <v>7765</v>
      </c>
      <c r="J823" s="47" t="s">
        <v>1346</v>
      </c>
    </row>
    <row r="824" spans="2:10" ht="14.5">
      <c r="B824" s="47" t="s">
        <v>1357</v>
      </c>
      <c r="C824" s="47" t="s">
        <v>7761</v>
      </c>
      <c r="D824" s="47" t="s">
        <v>8720</v>
      </c>
      <c r="E824" s="47" t="s">
        <v>1354</v>
      </c>
      <c r="F824" s="47" t="s">
        <v>7763</v>
      </c>
      <c r="G824" s="364">
        <v>46168</v>
      </c>
      <c r="H824" s="47" t="s">
        <v>7764</v>
      </c>
      <c r="I824" s="47" t="s">
        <v>7765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8721</v>
      </c>
      <c r="E825" s="47" t="s">
        <v>1390</v>
      </c>
      <c r="F825" s="47" t="s">
        <v>7763</v>
      </c>
      <c r="G825" s="364">
        <v>46153</v>
      </c>
      <c r="H825" s="47" t="s">
        <v>7764</v>
      </c>
      <c r="I825" s="47" t="s">
        <v>7765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8722</v>
      </c>
      <c r="E826" s="47" t="s">
        <v>1210</v>
      </c>
      <c r="F826" s="47" t="s">
        <v>7763</v>
      </c>
      <c r="G826" s="364">
        <v>46150</v>
      </c>
      <c r="H826" s="47" t="s">
        <v>7764</v>
      </c>
      <c r="I826" s="47" t="s">
        <v>7765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8723</v>
      </c>
      <c r="E827" s="47" t="s">
        <v>1215</v>
      </c>
      <c r="F827" s="47" t="s">
        <v>7763</v>
      </c>
      <c r="G827" s="364">
        <v>46163</v>
      </c>
      <c r="H827" s="47" t="s">
        <v>7764</v>
      </c>
      <c r="I827" s="47" t="s">
        <v>7765</v>
      </c>
      <c r="J827" s="47" t="s">
        <v>1215</v>
      </c>
    </row>
    <row r="828" spans="2:10" ht="14.5">
      <c r="B828" s="47" t="s">
        <v>8724</v>
      </c>
      <c r="C828" s="47" t="s">
        <v>64</v>
      </c>
      <c r="D828" s="47" t="s">
        <v>8528</v>
      </c>
      <c r="E828" s="47" t="s">
        <v>8725</v>
      </c>
      <c r="F828" s="47" t="s">
        <v>7763</v>
      </c>
      <c r="G828" s="364">
        <v>46146</v>
      </c>
      <c r="H828" s="47" t="s">
        <v>7911</v>
      </c>
      <c r="I828" s="47" t="s">
        <v>7765</v>
      </c>
      <c r="J828" s="47" t="s">
        <v>8725</v>
      </c>
    </row>
    <row r="829" spans="2:10" ht="14.5">
      <c r="B829" s="47" t="s">
        <v>1218</v>
      </c>
      <c r="C829" s="47" t="s">
        <v>64</v>
      </c>
      <c r="D829" s="47" t="s">
        <v>8726</v>
      </c>
      <c r="E829" s="47" t="s">
        <v>1217</v>
      </c>
      <c r="F829" s="47" t="s">
        <v>7763</v>
      </c>
      <c r="G829" s="364">
        <v>46163</v>
      </c>
      <c r="H829" s="47" t="s">
        <v>7764</v>
      </c>
      <c r="I829" s="47" t="s">
        <v>7765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8727</v>
      </c>
      <c r="E830" s="47" t="s">
        <v>1291</v>
      </c>
      <c r="F830" s="47" t="s">
        <v>7763</v>
      </c>
      <c r="G830" s="364">
        <v>46174</v>
      </c>
      <c r="H830" s="47" t="s">
        <v>7764</v>
      </c>
      <c r="I830" s="47" t="s">
        <v>7765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8728</v>
      </c>
      <c r="E831" s="47" t="s">
        <v>1285</v>
      </c>
      <c r="F831" s="47" t="s">
        <v>7763</v>
      </c>
      <c r="G831" s="364">
        <v>46174</v>
      </c>
      <c r="H831" s="47" t="s">
        <v>7764</v>
      </c>
      <c r="I831" s="47" t="s">
        <v>7765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8729</v>
      </c>
      <c r="E832" s="47" t="s">
        <v>1294</v>
      </c>
      <c r="F832" s="47" t="s">
        <v>7763</v>
      </c>
      <c r="G832" s="364">
        <v>46174</v>
      </c>
      <c r="H832" s="47" t="s">
        <v>7764</v>
      </c>
      <c r="I832" s="47" t="s">
        <v>7765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8730</v>
      </c>
      <c r="E833" s="47" t="s">
        <v>1309</v>
      </c>
      <c r="F833" s="47" t="s">
        <v>7763</v>
      </c>
      <c r="G833" s="364">
        <v>46150</v>
      </c>
      <c r="H833" s="47" t="s">
        <v>7764</v>
      </c>
      <c r="I833" s="47" t="s">
        <v>7765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8731</v>
      </c>
      <c r="E834" s="47" t="s">
        <v>1315</v>
      </c>
      <c r="F834" s="47" t="s">
        <v>7763</v>
      </c>
      <c r="G834" s="364">
        <v>46150</v>
      </c>
      <c r="H834" s="47" t="s">
        <v>7764</v>
      </c>
      <c r="I834" s="47" t="s">
        <v>7765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8732</v>
      </c>
      <c r="E835" s="47" t="s">
        <v>1317</v>
      </c>
      <c r="F835" s="47" t="s">
        <v>7763</v>
      </c>
      <c r="G835" s="364">
        <v>46150</v>
      </c>
      <c r="H835" s="47" t="s">
        <v>7764</v>
      </c>
      <c r="I835" s="47" t="s">
        <v>7765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8733</v>
      </c>
      <c r="E836" s="47" t="s">
        <v>1321</v>
      </c>
      <c r="F836" s="47" t="s">
        <v>7763</v>
      </c>
      <c r="G836" s="364">
        <v>46150</v>
      </c>
      <c r="H836" s="47" t="s">
        <v>7764</v>
      </c>
      <c r="I836" s="47" t="s">
        <v>7765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8734</v>
      </c>
      <c r="E837" s="47" t="s">
        <v>1358</v>
      </c>
      <c r="F837" s="47" t="s">
        <v>7763</v>
      </c>
      <c r="G837" s="364">
        <v>46163</v>
      </c>
      <c r="H837" s="47" t="s">
        <v>7764</v>
      </c>
      <c r="I837" s="47" t="s">
        <v>7765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8735</v>
      </c>
      <c r="E838" s="47" t="s">
        <v>1362</v>
      </c>
      <c r="F838" s="47" t="s">
        <v>7763</v>
      </c>
      <c r="G838" s="364">
        <v>46163</v>
      </c>
      <c r="H838" s="47" t="s">
        <v>7764</v>
      </c>
      <c r="I838" s="47" t="s">
        <v>7765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8736</v>
      </c>
      <c r="E839" s="47" t="s">
        <v>1367</v>
      </c>
      <c r="F839" s="47" t="s">
        <v>7763</v>
      </c>
      <c r="G839" s="364">
        <v>46163</v>
      </c>
      <c r="H839" s="47" t="s">
        <v>7764</v>
      </c>
      <c r="I839" s="47" t="s">
        <v>7765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8737</v>
      </c>
      <c r="E840" s="47" t="s">
        <v>1370</v>
      </c>
      <c r="F840" s="47" t="s">
        <v>7763</v>
      </c>
      <c r="G840" s="364">
        <v>46163</v>
      </c>
      <c r="H840" s="47" t="s">
        <v>7764</v>
      </c>
      <c r="I840" s="47" t="s">
        <v>7765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8738</v>
      </c>
      <c r="E841" s="47" t="s">
        <v>1373</v>
      </c>
      <c r="F841" s="47" t="s">
        <v>7763</v>
      </c>
      <c r="G841" s="364">
        <v>46163</v>
      </c>
      <c r="H841" s="47" t="s">
        <v>7764</v>
      </c>
      <c r="I841" s="47" t="s">
        <v>7765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8739</v>
      </c>
      <c r="E842" s="47" t="s">
        <v>1375</v>
      </c>
      <c r="F842" s="47" t="s">
        <v>7763</v>
      </c>
      <c r="G842" s="364">
        <v>46163</v>
      </c>
      <c r="H842" s="47" t="s">
        <v>7764</v>
      </c>
      <c r="I842" s="47" t="s">
        <v>7765</v>
      </c>
      <c r="J842" s="47" t="s">
        <v>1375</v>
      </c>
    </row>
    <row r="843" spans="2:10" ht="14.5">
      <c r="B843" s="47" t="s">
        <v>8740</v>
      </c>
      <c r="C843" s="47" t="s">
        <v>64</v>
      </c>
      <c r="D843" s="47" t="s">
        <v>8421</v>
      </c>
      <c r="E843" s="47" t="s">
        <v>8741</v>
      </c>
      <c r="F843" s="47" t="s">
        <v>7763</v>
      </c>
      <c r="G843" s="364">
        <v>46146</v>
      </c>
      <c r="H843" s="47" t="s">
        <v>7911</v>
      </c>
      <c r="I843" s="47" t="s">
        <v>7765</v>
      </c>
      <c r="J843" s="47" t="s">
        <v>8741</v>
      </c>
    </row>
    <row r="844" spans="2:10" ht="14.5">
      <c r="B844" s="47" t="s">
        <v>1396</v>
      </c>
      <c r="C844" s="47" t="s">
        <v>64</v>
      </c>
      <c r="D844" s="47" t="s">
        <v>8742</v>
      </c>
      <c r="E844" s="47" t="s">
        <v>1394</v>
      </c>
      <c r="F844" s="47" t="s">
        <v>7763</v>
      </c>
      <c r="G844" s="364">
        <v>46199</v>
      </c>
      <c r="H844" s="47" t="s">
        <v>7764</v>
      </c>
      <c r="I844" s="47" t="s">
        <v>7765</v>
      </c>
      <c r="J844" s="47" t="s">
        <v>1394</v>
      </c>
    </row>
    <row r="845" spans="2:10" ht="14.5">
      <c r="B845" s="47" t="s">
        <v>887</v>
      </c>
      <c r="C845" s="47" t="s">
        <v>7761</v>
      </c>
      <c r="D845" s="47" t="s">
        <v>8743</v>
      </c>
      <c r="E845" s="47" t="s">
        <v>880</v>
      </c>
      <c r="F845" s="47" t="s">
        <v>7763</v>
      </c>
      <c r="G845" s="364">
        <v>46162</v>
      </c>
      <c r="H845" s="47" t="s">
        <v>7764</v>
      </c>
      <c r="I845" s="47" t="s">
        <v>7765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8744</v>
      </c>
      <c r="E846" s="47" t="s">
        <v>902</v>
      </c>
      <c r="F846" s="47" t="s">
        <v>7763</v>
      </c>
      <c r="G846" s="364">
        <v>46163</v>
      </c>
      <c r="H846" s="47" t="s">
        <v>7764</v>
      </c>
      <c r="I846" s="47" t="s">
        <v>7765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8745</v>
      </c>
      <c r="E847" s="47" t="s">
        <v>907</v>
      </c>
      <c r="F847" s="47" t="s">
        <v>7763</v>
      </c>
      <c r="G847" s="364">
        <v>46163</v>
      </c>
      <c r="H847" s="47" t="s">
        <v>7764</v>
      </c>
      <c r="I847" s="47" t="s">
        <v>7765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8746</v>
      </c>
      <c r="E848" s="47" t="s">
        <v>1182</v>
      </c>
      <c r="F848" s="47" t="s">
        <v>7763</v>
      </c>
      <c r="G848" s="364">
        <v>46149</v>
      </c>
      <c r="H848" s="47" t="s">
        <v>7764</v>
      </c>
      <c r="I848" s="47" t="s">
        <v>7765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8747</v>
      </c>
      <c r="E849" s="47" t="s">
        <v>1192</v>
      </c>
      <c r="F849" s="47" t="s">
        <v>7763</v>
      </c>
      <c r="G849" s="364">
        <v>46150</v>
      </c>
      <c r="H849" s="47" t="s">
        <v>7764</v>
      </c>
      <c r="I849" s="47" t="s">
        <v>7765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8748</v>
      </c>
      <c r="E850" s="47" t="s">
        <v>1196</v>
      </c>
      <c r="F850" s="47" t="s">
        <v>7763</v>
      </c>
      <c r="G850" s="364">
        <v>46150</v>
      </c>
      <c r="H850" s="47" t="s">
        <v>7764</v>
      </c>
      <c r="I850" s="47" t="s">
        <v>7765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8749</v>
      </c>
      <c r="E851" s="47" t="s">
        <v>1200</v>
      </c>
      <c r="F851" s="47" t="s">
        <v>7763</v>
      </c>
      <c r="G851" s="364">
        <v>46150</v>
      </c>
      <c r="H851" s="47" t="s">
        <v>7764</v>
      </c>
      <c r="I851" s="47" t="s">
        <v>7765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8750</v>
      </c>
      <c r="E852" s="47" t="s">
        <v>1202</v>
      </c>
      <c r="F852" s="47" t="s">
        <v>7763</v>
      </c>
      <c r="G852" s="364">
        <v>46146</v>
      </c>
      <c r="H852" s="47" t="s">
        <v>7764</v>
      </c>
      <c r="I852" s="47" t="s">
        <v>7765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8751</v>
      </c>
      <c r="E853" s="47" t="s">
        <v>892</v>
      </c>
      <c r="F853" s="47" t="s">
        <v>7763</v>
      </c>
      <c r="G853" s="364">
        <v>46139</v>
      </c>
      <c r="H853" s="47" t="s">
        <v>7764</v>
      </c>
      <c r="I853" s="47" t="s">
        <v>7765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8752</v>
      </c>
      <c r="E854" s="47" t="s">
        <v>897</v>
      </c>
      <c r="F854" s="47" t="s">
        <v>7763</v>
      </c>
      <c r="G854" s="364">
        <v>46133</v>
      </c>
      <c r="H854" s="47" t="s">
        <v>7764</v>
      </c>
      <c r="I854" s="47" t="s">
        <v>7765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8753</v>
      </c>
      <c r="E855" s="47" t="s">
        <v>1208</v>
      </c>
      <c r="F855" s="47" t="s">
        <v>7763</v>
      </c>
      <c r="G855" s="364">
        <v>46133</v>
      </c>
      <c r="H855" s="47" t="s">
        <v>7764</v>
      </c>
      <c r="I855" s="47" t="s">
        <v>7765</v>
      </c>
      <c r="J855" s="47" t="s">
        <v>1208</v>
      </c>
    </row>
    <row r="856" spans="2:10" ht="14.5">
      <c r="B856" s="47" t="s">
        <v>1241</v>
      </c>
      <c r="C856" s="47" t="s">
        <v>7761</v>
      </c>
      <c r="D856" s="47" t="s">
        <v>8754</v>
      </c>
      <c r="E856" s="47" t="s">
        <v>1240</v>
      </c>
      <c r="F856" s="47" t="s">
        <v>7763</v>
      </c>
      <c r="G856" s="364">
        <v>46168</v>
      </c>
      <c r="H856" s="47" t="s">
        <v>7764</v>
      </c>
      <c r="I856" s="47" t="s">
        <v>7765</v>
      </c>
      <c r="J856" s="47" t="s">
        <v>1240</v>
      </c>
    </row>
    <row r="857" spans="2:10" ht="14.5">
      <c r="B857" s="47" t="s">
        <v>1236</v>
      </c>
      <c r="C857" s="47" t="s">
        <v>7761</v>
      </c>
      <c r="D857" s="47" t="s">
        <v>8755</v>
      </c>
      <c r="E857" s="47" t="s">
        <v>1231</v>
      </c>
      <c r="F857" s="47" t="s">
        <v>7763</v>
      </c>
      <c r="G857" s="364">
        <v>46168</v>
      </c>
      <c r="H857" s="47" t="s">
        <v>7764</v>
      </c>
      <c r="I857" s="47" t="s">
        <v>7765</v>
      </c>
      <c r="J857" s="47" t="s">
        <v>1231</v>
      </c>
    </row>
    <row r="858" spans="2:10" ht="14.5">
      <c r="B858" s="47" t="s">
        <v>1245</v>
      </c>
      <c r="C858" s="47" t="s">
        <v>7761</v>
      </c>
      <c r="D858" s="47" t="s">
        <v>8756</v>
      </c>
      <c r="E858" s="47" t="s">
        <v>1244</v>
      </c>
      <c r="F858" s="47" t="s">
        <v>7763</v>
      </c>
      <c r="G858" s="364">
        <v>46168</v>
      </c>
      <c r="H858" s="47" t="s">
        <v>7764</v>
      </c>
      <c r="I858" s="47" t="s">
        <v>7765</v>
      </c>
      <c r="J858" s="47" t="s">
        <v>1244</v>
      </c>
    </row>
    <row r="859" spans="2:10" ht="14.5">
      <c r="B859" s="47" t="s">
        <v>1243</v>
      </c>
      <c r="C859" s="47" t="s">
        <v>7761</v>
      </c>
      <c r="D859" s="47" t="s">
        <v>8757</v>
      </c>
      <c r="E859" s="47" t="s">
        <v>1242</v>
      </c>
      <c r="F859" s="47" t="s">
        <v>7763</v>
      </c>
      <c r="G859" s="364">
        <v>46168</v>
      </c>
      <c r="H859" s="47" t="s">
        <v>7764</v>
      </c>
      <c r="I859" s="47" t="s">
        <v>7765</v>
      </c>
      <c r="J859" s="47" t="s">
        <v>1242</v>
      </c>
    </row>
    <row r="860" spans="2:10" ht="14.5">
      <c r="B860" s="47" t="s">
        <v>1248</v>
      </c>
      <c r="C860" s="47" t="s">
        <v>7761</v>
      </c>
      <c r="D860" s="47" t="s">
        <v>8758</v>
      </c>
      <c r="E860" s="47" t="s">
        <v>1246</v>
      </c>
      <c r="F860" s="47" t="s">
        <v>7763</v>
      </c>
      <c r="G860" s="364">
        <v>46168</v>
      </c>
      <c r="H860" s="47" t="s">
        <v>7764</v>
      </c>
      <c r="I860" s="47" t="s">
        <v>7765</v>
      </c>
      <c r="J860" s="47" t="s">
        <v>1246</v>
      </c>
    </row>
    <row r="861" spans="2:10" ht="14.5">
      <c r="B861" s="47" t="s">
        <v>1256</v>
      </c>
      <c r="C861" s="47" t="s">
        <v>7761</v>
      </c>
      <c r="D861" s="47" t="s">
        <v>8759</v>
      </c>
      <c r="E861" s="47" t="s">
        <v>1253</v>
      </c>
      <c r="F861" s="47" t="s">
        <v>7763</v>
      </c>
      <c r="G861" s="364">
        <v>46168</v>
      </c>
      <c r="H861" s="47" t="s">
        <v>7764</v>
      </c>
      <c r="I861" s="47" t="s">
        <v>7765</v>
      </c>
      <c r="J861" s="47" t="s">
        <v>1253</v>
      </c>
    </row>
    <row r="862" spans="2:10" ht="14.5">
      <c r="B862" s="47" t="s">
        <v>1252</v>
      </c>
      <c r="C862" s="47" t="s">
        <v>7761</v>
      </c>
      <c r="D862" s="47" t="s">
        <v>8760</v>
      </c>
      <c r="E862" s="47" t="s">
        <v>1249</v>
      </c>
      <c r="F862" s="47" t="s">
        <v>7763</v>
      </c>
      <c r="G862" s="364">
        <v>46168</v>
      </c>
      <c r="H862" s="47" t="s">
        <v>7764</v>
      </c>
      <c r="I862" s="47" t="s">
        <v>7765</v>
      </c>
      <c r="J862" s="47" t="s">
        <v>1249</v>
      </c>
    </row>
    <row r="863" spans="2:10" ht="14.5">
      <c r="B863" s="47" t="s">
        <v>1260</v>
      </c>
      <c r="C863" s="47" t="s">
        <v>7761</v>
      </c>
      <c r="D863" s="47" t="s">
        <v>8761</v>
      </c>
      <c r="E863" s="47" t="s">
        <v>1257</v>
      </c>
      <c r="F863" s="47" t="s">
        <v>7763</v>
      </c>
      <c r="G863" s="364">
        <v>46168</v>
      </c>
      <c r="H863" s="47" t="s">
        <v>7764</v>
      </c>
      <c r="I863" s="47" t="s">
        <v>7765</v>
      </c>
      <c r="J863" s="47" t="s">
        <v>1257</v>
      </c>
    </row>
    <row r="864" spans="2:10" ht="14.5">
      <c r="B864" s="47" t="s">
        <v>7146</v>
      </c>
      <c r="C864" s="47" t="s">
        <v>64</v>
      </c>
      <c r="D864" s="47"/>
      <c r="E864" s="47"/>
      <c r="F864" s="47" t="s">
        <v>7810</v>
      </c>
      <c r="G864" s="364">
        <v>46128</v>
      </c>
      <c r="H864" s="47" t="s">
        <v>7764</v>
      </c>
      <c r="I864" s="47" t="s">
        <v>7765</v>
      </c>
      <c r="J864" s="47" t="s">
        <v>8762</v>
      </c>
    </row>
    <row r="865" spans="2:10" ht="14.5">
      <c r="B865" s="47" t="s">
        <v>1133</v>
      </c>
      <c r="C865" s="47" t="s">
        <v>64</v>
      </c>
      <c r="D865" s="47" t="s">
        <v>8763</v>
      </c>
      <c r="E865" s="47" t="s">
        <v>1131</v>
      </c>
      <c r="F865" s="47" t="s">
        <v>7763</v>
      </c>
      <c r="G865" s="364">
        <v>46163</v>
      </c>
      <c r="H865" s="47" t="s">
        <v>7764</v>
      </c>
      <c r="I865" s="47" t="s">
        <v>7765</v>
      </c>
      <c r="J865" s="47" t="s">
        <v>1131</v>
      </c>
    </row>
    <row r="866" spans="2:10" ht="14.5">
      <c r="B866" s="47" t="s">
        <v>1140</v>
      </c>
      <c r="C866" s="47" t="s">
        <v>7761</v>
      </c>
      <c r="D866" s="47" t="s">
        <v>8764</v>
      </c>
      <c r="E866" s="47" t="s">
        <v>1136</v>
      </c>
      <c r="F866" s="47" t="s">
        <v>7763</v>
      </c>
      <c r="G866" s="364">
        <v>46140</v>
      </c>
      <c r="H866" s="47" t="s">
        <v>7764</v>
      </c>
      <c r="I866" s="47" t="s">
        <v>7765</v>
      </c>
      <c r="J866" s="47" t="s">
        <v>1136</v>
      </c>
    </row>
    <row r="867" spans="2:10" ht="14.5">
      <c r="B867" s="47" t="s">
        <v>8765</v>
      </c>
      <c r="C867" s="47" t="s">
        <v>64</v>
      </c>
      <c r="D867" s="47" t="s">
        <v>8523</v>
      </c>
      <c r="E867" s="47" t="s">
        <v>8766</v>
      </c>
      <c r="F867" s="47" t="s">
        <v>7763</v>
      </c>
      <c r="G867" s="364">
        <v>46153</v>
      </c>
      <c r="H867" s="47" t="s">
        <v>7911</v>
      </c>
      <c r="I867" s="47" t="s">
        <v>7765</v>
      </c>
      <c r="J867" s="47" t="s">
        <v>8766</v>
      </c>
    </row>
    <row r="868" spans="2:10" ht="14.5">
      <c r="B868" s="47" t="s">
        <v>1145</v>
      </c>
      <c r="C868" s="47" t="s">
        <v>64</v>
      </c>
      <c r="D868" s="47" t="s">
        <v>8767</v>
      </c>
      <c r="E868" s="47" t="s">
        <v>1143</v>
      </c>
      <c r="F868" s="47" t="s">
        <v>7763</v>
      </c>
      <c r="G868" s="364">
        <v>46163</v>
      </c>
      <c r="H868" s="47" t="s">
        <v>7764</v>
      </c>
      <c r="I868" s="47" t="s">
        <v>7765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8768</v>
      </c>
      <c r="E869" s="47" t="s">
        <v>1161</v>
      </c>
      <c r="F869" s="47" t="s">
        <v>7763</v>
      </c>
      <c r="G869" s="364">
        <v>46153</v>
      </c>
      <c r="H869" s="47" t="s">
        <v>7764</v>
      </c>
      <c r="I869" s="47" t="s">
        <v>7765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8769</v>
      </c>
      <c r="E870" s="47" t="s">
        <v>1171</v>
      </c>
      <c r="F870" s="47" t="s">
        <v>7763</v>
      </c>
      <c r="G870" s="364">
        <v>46153</v>
      </c>
      <c r="H870" s="47" t="s">
        <v>7764</v>
      </c>
      <c r="I870" s="47" t="s">
        <v>7765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8770</v>
      </c>
      <c r="E871" s="47" t="s">
        <v>1175</v>
      </c>
      <c r="F871" s="47" t="s">
        <v>7763</v>
      </c>
      <c r="G871" s="364">
        <v>46153</v>
      </c>
      <c r="H871" s="47" t="s">
        <v>7764</v>
      </c>
      <c r="I871" s="47" t="s">
        <v>7765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8771</v>
      </c>
      <c r="E872" s="47" t="s">
        <v>1176</v>
      </c>
      <c r="F872" s="47" t="s">
        <v>7763</v>
      </c>
      <c r="G872" s="364">
        <v>46153</v>
      </c>
      <c r="H872" s="47" t="s">
        <v>7764</v>
      </c>
      <c r="I872" s="47" t="s">
        <v>7765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8772</v>
      </c>
      <c r="E873" s="47" t="s">
        <v>62</v>
      </c>
      <c r="F873" s="47" t="s">
        <v>7763</v>
      </c>
      <c r="G873" s="364">
        <v>46181</v>
      </c>
      <c r="H873" s="47" t="s">
        <v>7764</v>
      </c>
      <c r="I873" s="47" t="s">
        <v>7765</v>
      </c>
      <c r="J873" s="47" t="s">
        <v>62</v>
      </c>
    </row>
    <row r="874" spans="2:10" ht="14.5">
      <c r="B874" s="47" t="s">
        <v>8773</v>
      </c>
      <c r="C874" s="47" t="s">
        <v>64</v>
      </c>
      <c r="D874" s="47" t="s">
        <v>8582</v>
      </c>
      <c r="E874" s="47" t="s">
        <v>577</v>
      </c>
      <c r="F874" s="47" t="s">
        <v>7763</v>
      </c>
      <c r="G874" s="364">
        <v>46181</v>
      </c>
      <c r="H874" s="47" t="s">
        <v>7911</v>
      </c>
      <c r="I874" s="47" t="s">
        <v>7765</v>
      </c>
      <c r="J874" s="47" t="s">
        <v>577</v>
      </c>
    </row>
    <row r="875" spans="2:10" ht="14.5">
      <c r="B875" s="47" t="s">
        <v>1125</v>
      </c>
      <c r="C875" s="47" t="s">
        <v>7761</v>
      </c>
      <c r="D875" s="47" t="s">
        <v>8774</v>
      </c>
      <c r="E875" s="47" t="s">
        <v>1123</v>
      </c>
      <c r="F875" s="47" t="s">
        <v>7763</v>
      </c>
      <c r="G875" s="364">
        <v>46142</v>
      </c>
      <c r="H875" s="47" t="s">
        <v>7764</v>
      </c>
      <c r="I875" s="47" t="s">
        <v>7765</v>
      </c>
      <c r="J875" s="47" t="s">
        <v>1123</v>
      </c>
    </row>
    <row r="876" spans="2:10" ht="14.5">
      <c r="B876" s="47" t="s">
        <v>1130</v>
      </c>
      <c r="C876" s="47" t="s">
        <v>7761</v>
      </c>
      <c r="D876" s="47" t="s">
        <v>8775</v>
      </c>
      <c r="E876" s="47" t="s">
        <v>1129</v>
      </c>
      <c r="F876" s="47" t="s">
        <v>7763</v>
      </c>
      <c r="G876" s="364">
        <v>46142</v>
      </c>
      <c r="H876" s="47" t="s">
        <v>7764</v>
      </c>
      <c r="I876" s="47" t="s">
        <v>7765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8776</v>
      </c>
      <c r="E877" s="47" t="s">
        <v>1090</v>
      </c>
      <c r="F877" s="47" t="s">
        <v>7763</v>
      </c>
      <c r="G877" s="364">
        <v>46132</v>
      </c>
      <c r="H877" s="47" t="s">
        <v>7764</v>
      </c>
      <c r="I877" s="47" t="s">
        <v>7765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8777</v>
      </c>
      <c r="E878" s="47" t="s">
        <v>1095</v>
      </c>
      <c r="F878" s="47" t="s">
        <v>7763</v>
      </c>
      <c r="G878" s="364">
        <v>46132</v>
      </c>
      <c r="H878" s="47" t="s">
        <v>7764</v>
      </c>
      <c r="I878" s="47" t="s">
        <v>7765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8778</v>
      </c>
      <c r="E879" s="47" t="s">
        <v>1102</v>
      </c>
      <c r="F879" s="47" t="s">
        <v>7763</v>
      </c>
      <c r="G879" s="364">
        <v>46132</v>
      </c>
      <c r="H879" s="47" t="s">
        <v>7764</v>
      </c>
      <c r="I879" s="47" t="s">
        <v>7765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8779</v>
      </c>
      <c r="E880" s="47" t="s">
        <v>1098</v>
      </c>
      <c r="F880" s="47" t="s">
        <v>7763</v>
      </c>
      <c r="G880" s="364">
        <v>46132</v>
      </c>
      <c r="H880" s="47" t="s">
        <v>7764</v>
      </c>
      <c r="I880" s="47" t="s">
        <v>7765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8780</v>
      </c>
      <c r="E881" s="47" t="s">
        <v>1107</v>
      </c>
      <c r="F881" s="47" t="s">
        <v>7763</v>
      </c>
      <c r="G881" s="364">
        <v>46132</v>
      </c>
      <c r="H881" s="47" t="s">
        <v>7764</v>
      </c>
      <c r="I881" s="47" t="s">
        <v>7765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8781</v>
      </c>
      <c r="E882" s="47" t="s">
        <v>1111</v>
      </c>
      <c r="F882" s="47" t="s">
        <v>7763</v>
      </c>
      <c r="G882" s="364">
        <v>46132</v>
      </c>
      <c r="H882" s="47" t="s">
        <v>7764</v>
      </c>
      <c r="I882" s="47" t="s">
        <v>7765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8782</v>
      </c>
      <c r="E883" s="47" t="s">
        <v>1117</v>
      </c>
      <c r="F883" s="47" t="s">
        <v>7763</v>
      </c>
      <c r="G883" s="364">
        <v>46139</v>
      </c>
      <c r="H883" s="47" t="s">
        <v>7764</v>
      </c>
      <c r="I883" s="47" t="s">
        <v>7765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8783</v>
      </c>
      <c r="E884" s="47" t="s">
        <v>508</v>
      </c>
      <c r="F884" s="47" t="s">
        <v>7763</v>
      </c>
      <c r="G884" s="364">
        <v>46120</v>
      </c>
      <c r="H884" s="47" t="s">
        <v>7764</v>
      </c>
      <c r="I884" s="47" t="s">
        <v>7765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8784</v>
      </c>
      <c r="E885" s="47" t="s">
        <v>1119</v>
      </c>
      <c r="F885" s="47" t="s">
        <v>7763</v>
      </c>
      <c r="G885" s="364">
        <v>46150</v>
      </c>
      <c r="H885" s="47" t="s">
        <v>7764</v>
      </c>
      <c r="I885" s="47" t="s">
        <v>7765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8785</v>
      </c>
      <c r="E886" s="47" t="s">
        <v>512</v>
      </c>
      <c r="F886" s="47" t="s">
        <v>7763</v>
      </c>
      <c r="G886" s="364">
        <v>46120</v>
      </c>
      <c r="H886" s="47" t="s">
        <v>7764</v>
      </c>
      <c r="I886" s="47" t="s">
        <v>7765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8786</v>
      </c>
      <c r="E887" s="47" t="s">
        <v>461</v>
      </c>
      <c r="F887" s="47" t="s">
        <v>7763</v>
      </c>
      <c r="G887" s="364">
        <v>46132</v>
      </c>
      <c r="H887" s="47" t="s">
        <v>7764</v>
      </c>
      <c r="I887" s="47" t="s">
        <v>7765</v>
      </c>
      <c r="J887" s="47" t="s">
        <v>461</v>
      </c>
    </row>
    <row r="888" spans="2:10" ht="14.5">
      <c r="B888" s="47" t="s">
        <v>8787</v>
      </c>
      <c r="C888" s="47" t="s">
        <v>64</v>
      </c>
      <c r="D888" s="47" t="s">
        <v>8588</v>
      </c>
      <c r="E888" s="47" t="s">
        <v>583</v>
      </c>
      <c r="F888" s="47" t="s">
        <v>7763</v>
      </c>
      <c r="G888" s="364">
        <v>46129</v>
      </c>
      <c r="H888" s="47" t="s">
        <v>7911</v>
      </c>
      <c r="I888" s="47" t="s">
        <v>7765</v>
      </c>
      <c r="J888" s="47" t="s">
        <v>583</v>
      </c>
    </row>
    <row r="889" spans="2:10" ht="14.5">
      <c r="B889" s="47" t="s">
        <v>8788</v>
      </c>
      <c r="C889" s="47" t="s">
        <v>64</v>
      </c>
      <c r="D889" s="47" t="s">
        <v>8590</v>
      </c>
      <c r="E889" s="47" t="s">
        <v>590</v>
      </c>
      <c r="F889" s="47" t="s">
        <v>7763</v>
      </c>
      <c r="G889" s="364">
        <v>46129</v>
      </c>
      <c r="H889" s="47" t="s">
        <v>7911</v>
      </c>
      <c r="I889" s="47" t="s">
        <v>7765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8789</v>
      </c>
      <c r="E890" s="47" t="s">
        <v>858</v>
      </c>
      <c r="F890" s="47" t="s">
        <v>7763</v>
      </c>
      <c r="G890" s="364">
        <v>46171</v>
      </c>
      <c r="H890" s="47" t="s">
        <v>7764</v>
      </c>
      <c r="I890" s="47" t="s">
        <v>7765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8790</v>
      </c>
      <c r="E891" s="47" t="s">
        <v>780</v>
      </c>
      <c r="F891" s="47" t="s">
        <v>7763</v>
      </c>
      <c r="G891" s="364">
        <v>46171</v>
      </c>
      <c r="H891" s="47" t="s">
        <v>7764</v>
      </c>
      <c r="I891" s="47" t="s">
        <v>7765</v>
      </c>
      <c r="J891" s="47" t="s">
        <v>780</v>
      </c>
    </row>
    <row r="892" spans="2:10" ht="14.5">
      <c r="B892" s="47" t="s">
        <v>1083</v>
      </c>
      <c r="C892" s="47" t="s">
        <v>7761</v>
      </c>
      <c r="D892" s="47" t="s">
        <v>8791</v>
      </c>
      <c r="E892" s="47" t="s">
        <v>1079</v>
      </c>
      <c r="F892" s="47" t="s">
        <v>7763</v>
      </c>
      <c r="G892" s="364">
        <v>46153</v>
      </c>
      <c r="H892" s="47" t="s">
        <v>7764</v>
      </c>
      <c r="I892" s="47" t="s">
        <v>7765</v>
      </c>
      <c r="J892" s="47" t="s">
        <v>1079</v>
      </c>
    </row>
    <row r="893" spans="2:10" ht="14.5">
      <c r="B893" s="47" t="s">
        <v>1089</v>
      </c>
      <c r="C893" s="47" t="s">
        <v>7761</v>
      </c>
      <c r="D893" s="47" t="s">
        <v>8792</v>
      </c>
      <c r="E893" s="47" t="s">
        <v>1088</v>
      </c>
      <c r="F893" s="47" t="s">
        <v>7763</v>
      </c>
      <c r="G893" s="364">
        <v>46153</v>
      </c>
      <c r="H893" s="47" t="s">
        <v>7764</v>
      </c>
      <c r="I893" s="47" t="s">
        <v>7765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8793</v>
      </c>
      <c r="E894" s="47" t="s">
        <v>1058</v>
      </c>
      <c r="F894" s="47" t="s">
        <v>7763</v>
      </c>
      <c r="G894" s="364">
        <v>46147</v>
      </c>
      <c r="H894" s="47" t="s">
        <v>7764</v>
      </c>
      <c r="I894" s="47" t="s">
        <v>7765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8794</v>
      </c>
      <c r="E895" s="47" t="s">
        <v>1060</v>
      </c>
      <c r="F895" s="47" t="s">
        <v>7763</v>
      </c>
      <c r="G895" s="364">
        <v>46126</v>
      </c>
      <c r="H895" s="47" t="s">
        <v>7764</v>
      </c>
      <c r="I895" s="47" t="s">
        <v>7765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8795</v>
      </c>
      <c r="E896" s="47" t="s">
        <v>1068</v>
      </c>
      <c r="F896" s="47" t="s">
        <v>7763</v>
      </c>
      <c r="G896" s="364">
        <v>46132</v>
      </c>
      <c r="H896" s="47" t="s">
        <v>7764</v>
      </c>
      <c r="I896" s="47" t="s">
        <v>7765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8796</v>
      </c>
      <c r="E897" s="47" t="s">
        <v>832</v>
      </c>
      <c r="F897" s="47" t="s">
        <v>7763</v>
      </c>
      <c r="G897" s="364">
        <v>46133</v>
      </c>
      <c r="H897" s="47" t="s">
        <v>7764</v>
      </c>
      <c r="I897" s="47" t="s">
        <v>7765</v>
      </c>
      <c r="J897" s="47" t="s">
        <v>832</v>
      </c>
    </row>
    <row r="898" spans="2:10" ht="14.5">
      <c r="B898" s="47" t="s">
        <v>1078</v>
      </c>
      <c r="C898" s="47" t="s">
        <v>7761</v>
      </c>
      <c r="D898" s="47" t="s">
        <v>8797</v>
      </c>
      <c r="E898" s="47" t="s">
        <v>1076</v>
      </c>
      <c r="F898" s="47" t="s">
        <v>7763</v>
      </c>
      <c r="G898" s="364">
        <v>46155</v>
      </c>
      <c r="H898" s="47" t="s">
        <v>7764</v>
      </c>
      <c r="I898" s="47" t="s">
        <v>7765</v>
      </c>
      <c r="J898" s="47" t="s">
        <v>1076</v>
      </c>
    </row>
    <row r="899" spans="2:10" ht="14.5">
      <c r="B899" s="47" t="s">
        <v>843</v>
      </c>
      <c r="C899" s="47" t="s">
        <v>7761</v>
      </c>
      <c r="D899" s="47" t="s">
        <v>8798</v>
      </c>
      <c r="E899" s="47" t="s">
        <v>837</v>
      </c>
      <c r="F899" s="47" t="s">
        <v>7763</v>
      </c>
      <c r="G899" s="364">
        <v>46135</v>
      </c>
      <c r="H899" s="47" t="s">
        <v>7764</v>
      </c>
      <c r="I899" s="47" t="s">
        <v>7765</v>
      </c>
      <c r="J899" s="47" t="s">
        <v>837</v>
      </c>
    </row>
    <row r="900" spans="2:10" ht="14.5">
      <c r="B900" s="47" t="s">
        <v>1073</v>
      </c>
      <c r="C900" s="47" t="s">
        <v>7761</v>
      </c>
      <c r="D900" s="47" t="s">
        <v>8799</v>
      </c>
      <c r="E900" s="47" t="s">
        <v>1072</v>
      </c>
      <c r="F900" s="47" t="s">
        <v>7763</v>
      </c>
      <c r="G900" s="364">
        <v>46155</v>
      </c>
      <c r="H900" s="47" t="s">
        <v>7764</v>
      </c>
      <c r="I900" s="47" t="s">
        <v>7765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8800</v>
      </c>
      <c r="E901" s="47" t="s">
        <v>847</v>
      </c>
      <c r="F901" s="47" t="s">
        <v>7763</v>
      </c>
      <c r="G901" s="364">
        <v>46150</v>
      </c>
      <c r="H901" s="47" t="s">
        <v>7764</v>
      </c>
      <c r="I901" s="47" t="s">
        <v>7765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8801</v>
      </c>
      <c r="E902" s="47" t="s">
        <v>688</v>
      </c>
      <c r="F902" s="47" t="s">
        <v>7763</v>
      </c>
      <c r="G902" s="364">
        <v>46150</v>
      </c>
      <c r="H902" s="47" t="s">
        <v>7764</v>
      </c>
      <c r="I902" s="47" t="s">
        <v>7765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8802</v>
      </c>
      <c r="E903" s="47" t="s">
        <v>855</v>
      </c>
      <c r="F903" s="47" t="s">
        <v>7763</v>
      </c>
      <c r="G903" s="364">
        <v>46150</v>
      </c>
      <c r="H903" s="47" t="s">
        <v>7764</v>
      </c>
      <c r="I903" s="47" t="s">
        <v>7765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8803</v>
      </c>
      <c r="E904" s="47" t="s">
        <v>381</v>
      </c>
      <c r="F904" s="47" t="s">
        <v>7763</v>
      </c>
      <c r="G904" s="364">
        <v>46115</v>
      </c>
      <c r="H904" s="47" t="s">
        <v>7764</v>
      </c>
      <c r="I904" s="47" t="s">
        <v>7765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8804</v>
      </c>
      <c r="E905" s="47" t="s">
        <v>386</v>
      </c>
      <c r="F905" s="47" t="s">
        <v>7763</v>
      </c>
      <c r="G905" s="364">
        <v>46115</v>
      </c>
      <c r="H905" s="47" t="s">
        <v>7764</v>
      </c>
      <c r="I905" s="47" t="s">
        <v>7765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8805</v>
      </c>
      <c r="E906" s="47" t="s">
        <v>389</v>
      </c>
      <c r="F906" s="47" t="s">
        <v>7763</v>
      </c>
      <c r="G906" s="364">
        <v>46115</v>
      </c>
      <c r="H906" s="47" t="s">
        <v>7764</v>
      </c>
      <c r="I906" s="47" t="s">
        <v>7765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8806</v>
      </c>
      <c r="E907" s="47" t="s">
        <v>827</v>
      </c>
      <c r="F907" s="47" t="s">
        <v>7763</v>
      </c>
      <c r="G907" s="364">
        <v>46147</v>
      </c>
      <c r="H907" s="47" t="s">
        <v>7764</v>
      </c>
      <c r="I907" s="47" t="s">
        <v>7765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8807</v>
      </c>
      <c r="E908" s="47" t="s">
        <v>500</v>
      </c>
      <c r="F908" s="47" t="s">
        <v>7763</v>
      </c>
      <c r="G908" s="364">
        <v>46120</v>
      </c>
      <c r="H908" s="47" t="s">
        <v>7764</v>
      </c>
      <c r="I908" s="47" t="s">
        <v>7765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8808</v>
      </c>
      <c r="E909" s="47" t="s">
        <v>506</v>
      </c>
      <c r="F909" s="47" t="s">
        <v>7763</v>
      </c>
      <c r="G909" s="364">
        <v>46120</v>
      </c>
      <c r="H909" s="47" t="s">
        <v>7764</v>
      </c>
      <c r="I909" s="47" t="s">
        <v>7765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8809</v>
      </c>
      <c r="E910" s="47" t="s">
        <v>1056</v>
      </c>
      <c r="F910" s="47" t="s">
        <v>7763</v>
      </c>
      <c r="G910" s="364">
        <v>46147</v>
      </c>
      <c r="H910" s="47" t="s">
        <v>7764</v>
      </c>
      <c r="I910" s="47" t="s">
        <v>7765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8810</v>
      </c>
      <c r="E911" s="47" t="s">
        <v>821</v>
      </c>
      <c r="F911" s="47" t="s">
        <v>7763</v>
      </c>
      <c r="G911" s="364">
        <v>46127</v>
      </c>
      <c r="H911" s="47" t="s">
        <v>7764</v>
      </c>
      <c r="I911" s="47" t="s">
        <v>7765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8811</v>
      </c>
      <c r="E912" s="47" t="s">
        <v>504</v>
      </c>
      <c r="F912" s="47" t="s">
        <v>7763</v>
      </c>
      <c r="G912" s="364">
        <v>46120</v>
      </c>
      <c r="H912" s="47" t="s">
        <v>7764</v>
      </c>
      <c r="I912" s="47" t="s">
        <v>7765</v>
      </c>
      <c r="J912" s="47" t="s">
        <v>504</v>
      </c>
    </row>
    <row r="913" spans="2:10" ht="14.5">
      <c r="B913" s="47" t="s">
        <v>1034</v>
      </c>
      <c r="C913" s="47" t="s">
        <v>7761</v>
      </c>
      <c r="D913" s="47" t="s">
        <v>8812</v>
      </c>
      <c r="E913" s="47" t="s">
        <v>1028</v>
      </c>
      <c r="F913" s="47" t="s">
        <v>7763</v>
      </c>
      <c r="G913" s="364">
        <v>46134</v>
      </c>
      <c r="H913" s="47" t="s">
        <v>7764</v>
      </c>
      <c r="I913" s="47" t="s">
        <v>7765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8813</v>
      </c>
      <c r="E914" s="47" t="s">
        <v>1045</v>
      </c>
      <c r="F914" s="47" t="s">
        <v>7763</v>
      </c>
      <c r="G914" s="364">
        <v>46134</v>
      </c>
      <c r="H914" s="47" t="s">
        <v>7764</v>
      </c>
      <c r="I914" s="47" t="s">
        <v>7765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8814</v>
      </c>
      <c r="E915" s="47" t="s">
        <v>1052</v>
      </c>
      <c r="F915" s="47" t="s">
        <v>7763</v>
      </c>
      <c r="G915" s="364">
        <v>46147</v>
      </c>
      <c r="H915" s="47" t="s">
        <v>7764</v>
      </c>
      <c r="I915" s="47" t="s">
        <v>7765</v>
      </c>
      <c r="J915" s="47" t="s">
        <v>1052</v>
      </c>
    </row>
    <row r="916" spans="2:10" ht="14.5">
      <c r="B916" s="47" t="s">
        <v>1039</v>
      </c>
      <c r="C916" s="47" t="s">
        <v>7761</v>
      </c>
      <c r="D916" s="47" t="s">
        <v>8815</v>
      </c>
      <c r="E916" s="47" t="s">
        <v>1038</v>
      </c>
      <c r="F916" s="47" t="s">
        <v>7763</v>
      </c>
      <c r="G916" s="364">
        <v>46134</v>
      </c>
      <c r="H916" s="47" t="s">
        <v>7764</v>
      </c>
      <c r="I916" s="47" t="s">
        <v>7765</v>
      </c>
      <c r="J916" s="47" t="s">
        <v>1038</v>
      </c>
    </row>
    <row r="917" spans="2:10" ht="14.5">
      <c r="B917" s="47" t="s">
        <v>1044</v>
      </c>
      <c r="C917" s="47" t="s">
        <v>7761</v>
      </c>
      <c r="D917" s="47" t="s">
        <v>8816</v>
      </c>
      <c r="E917" s="47" t="s">
        <v>1042</v>
      </c>
      <c r="F917" s="47" t="s">
        <v>7763</v>
      </c>
      <c r="G917" s="364">
        <v>46134</v>
      </c>
      <c r="H917" s="47" t="s">
        <v>7764</v>
      </c>
      <c r="I917" s="47" t="s">
        <v>7765</v>
      </c>
      <c r="J917" s="47" t="s">
        <v>1042</v>
      </c>
    </row>
    <row r="918" spans="2:10" ht="14.5">
      <c r="B918" s="47" t="s">
        <v>1041</v>
      </c>
      <c r="C918" s="47" t="s">
        <v>7761</v>
      </c>
      <c r="D918" s="47" t="s">
        <v>8817</v>
      </c>
      <c r="E918" s="47" t="s">
        <v>1040</v>
      </c>
      <c r="F918" s="47" t="s">
        <v>7763</v>
      </c>
      <c r="G918" s="364">
        <v>46134</v>
      </c>
      <c r="H918" s="47" t="s">
        <v>7764</v>
      </c>
      <c r="I918" s="47" t="s">
        <v>7765</v>
      </c>
      <c r="J918" s="47" t="s">
        <v>1040</v>
      </c>
    </row>
    <row r="919" spans="2:10" ht="14.5">
      <c r="B919" s="47" t="s">
        <v>4185</v>
      </c>
      <c r="C919" s="47" t="s">
        <v>64</v>
      </c>
      <c r="D919" s="47"/>
      <c r="E919" s="47"/>
      <c r="F919" s="47" t="s">
        <v>7763</v>
      </c>
      <c r="G919" s="364">
        <v>46090</v>
      </c>
      <c r="H919" s="47" t="s">
        <v>7764</v>
      </c>
      <c r="I919" s="47" t="s">
        <v>7765</v>
      </c>
      <c r="J919" s="47" t="s">
        <v>8818</v>
      </c>
    </row>
    <row r="920" spans="2:10" ht="14.5">
      <c r="B920" s="47" t="s">
        <v>4183</v>
      </c>
      <c r="C920" s="47" t="s">
        <v>64</v>
      </c>
      <c r="D920" s="47"/>
      <c r="E920" s="47"/>
      <c r="F920" s="47" t="s">
        <v>7763</v>
      </c>
      <c r="G920" s="364">
        <v>46090</v>
      </c>
      <c r="H920" s="47" t="s">
        <v>7764</v>
      </c>
      <c r="I920" s="47" t="s">
        <v>7765</v>
      </c>
      <c r="J920" s="47" t="s">
        <v>8819</v>
      </c>
    </row>
    <row r="921" spans="2:10" ht="14.5">
      <c r="B921" s="47" t="s">
        <v>4181</v>
      </c>
      <c r="C921" s="47" t="s">
        <v>64</v>
      </c>
      <c r="D921" s="47"/>
      <c r="E921" s="47"/>
      <c r="F921" s="47" t="s">
        <v>7763</v>
      </c>
      <c r="G921" s="364">
        <v>46090</v>
      </c>
      <c r="H921" s="47" t="s">
        <v>7764</v>
      </c>
      <c r="I921" s="47" t="s">
        <v>7765</v>
      </c>
      <c r="J921" s="47" t="s">
        <v>8820</v>
      </c>
    </row>
    <row r="922" spans="2:10" ht="14.5">
      <c r="B922" s="47" t="s">
        <v>4176</v>
      </c>
      <c r="C922" s="47" t="s">
        <v>64</v>
      </c>
      <c r="D922" s="47"/>
      <c r="E922" s="47"/>
      <c r="F922" s="47" t="s">
        <v>7763</v>
      </c>
      <c r="G922" s="364">
        <v>46090</v>
      </c>
      <c r="H922" s="47" t="s">
        <v>7764</v>
      </c>
      <c r="I922" s="47" t="s">
        <v>7765</v>
      </c>
      <c r="J922" s="47" t="s">
        <v>8821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7763</v>
      </c>
      <c r="G923" s="364">
        <v>46112</v>
      </c>
      <c r="H923" s="47" t="s">
        <v>7764</v>
      </c>
      <c r="I923" s="47" t="s">
        <v>7765</v>
      </c>
      <c r="J923" s="47" t="s">
        <v>8822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7763</v>
      </c>
      <c r="G924" s="364">
        <v>46112</v>
      </c>
      <c r="H924" s="47" t="s">
        <v>7764</v>
      </c>
      <c r="I924" s="47" t="s">
        <v>7765</v>
      </c>
      <c r="J924" s="47" t="s">
        <v>8823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7763</v>
      </c>
      <c r="G925" s="364">
        <v>46112</v>
      </c>
      <c r="H925" s="47" t="s">
        <v>7764</v>
      </c>
      <c r="I925" s="47" t="s">
        <v>7765</v>
      </c>
      <c r="J925" s="47" t="s">
        <v>8824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7763</v>
      </c>
      <c r="G926" s="364">
        <v>46097</v>
      </c>
      <c r="H926" s="47" t="s">
        <v>7764</v>
      </c>
      <c r="I926" s="47" t="s">
        <v>7765</v>
      </c>
      <c r="J926" s="47" t="s">
        <v>8825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7763</v>
      </c>
      <c r="G927" s="364">
        <v>46125</v>
      </c>
      <c r="H927" s="47" t="s">
        <v>7764</v>
      </c>
      <c r="I927" s="47" t="s">
        <v>7765</v>
      </c>
      <c r="J927" s="47" t="s">
        <v>8826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7763</v>
      </c>
      <c r="G928" s="364">
        <v>46125</v>
      </c>
      <c r="H928" s="47" t="s">
        <v>7764</v>
      </c>
      <c r="I928" s="47" t="s">
        <v>7765</v>
      </c>
      <c r="J928" s="47" t="s">
        <v>8827</v>
      </c>
    </row>
    <row r="929" spans="2:10" ht="14.5">
      <c r="B929" s="47" t="s">
        <v>8828</v>
      </c>
      <c r="C929" s="47" t="s">
        <v>64</v>
      </c>
      <c r="D929" s="47" t="s">
        <v>8829</v>
      </c>
      <c r="E929" s="47"/>
      <c r="F929" s="47" t="s">
        <v>7810</v>
      </c>
      <c r="G929" s="364">
        <v>46128</v>
      </c>
      <c r="H929" s="47" t="s">
        <v>7911</v>
      </c>
      <c r="I929" s="47" t="s">
        <v>7765</v>
      </c>
      <c r="J929" s="47" t="s">
        <v>8830</v>
      </c>
    </row>
    <row r="930" spans="2:10" ht="14.5">
      <c r="B930" s="47" t="s">
        <v>139</v>
      </c>
      <c r="C930" s="47" t="s">
        <v>64</v>
      </c>
      <c r="D930" s="47" t="s">
        <v>8831</v>
      </c>
      <c r="E930" s="47"/>
      <c r="F930" s="47" t="s">
        <v>7763</v>
      </c>
      <c r="G930" s="364">
        <v>46104</v>
      </c>
      <c r="H930" s="47" t="s">
        <v>7764</v>
      </c>
      <c r="I930" s="47" t="s">
        <v>7765</v>
      </c>
      <c r="J930" s="47" t="s">
        <v>8832</v>
      </c>
    </row>
    <row r="931" spans="2:10" ht="14.5">
      <c r="B931" s="47" t="s">
        <v>8833</v>
      </c>
      <c r="C931" s="47" t="s">
        <v>64</v>
      </c>
      <c r="D931" s="47" t="s">
        <v>8834</v>
      </c>
      <c r="E931" s="47"/>
      <c r="F931" s="47" t="s">
        <v>7763</v>
      </c>
      <c r="G931" s="364">
        <v>46125</v>
      </c>
      <c r="H931" s="47" t="s">
        <v>7764</v>
      </c>
      <c r="I931" s="47" t="s">
        <v>7765</v>
      </c>
      <c r="J931" s="47" t="s">
        <v>8835</v>
      </c>
    </row>
    <row r="932" spans="2:10" ht="14.5">
      <c r="B932" s="47" t="s">
        <v>259</v>
      </c>
      <c r="C932" s="47" t="s">
        <v>64</v>
      </c>
      <c r="D932" s="47" t="s">
        <v>8836</v>
      </c>
      <c r="E932" s="47"/>
      <c r="F932" s="47" t="s">
        <v>7763</v>
      </c>
      <c r="G932" s="364">
        <v>46125</v>
      </c>
      <c r="H932" s="47" t="s">
        <v>7764</v>
      </c>
      <c r="I932" s="47" t="s">
        <v>7765</v>
      </c>
      <c r="J932" s="47" t="s">
        <v>8837</v>
      </c>
    </row>
    <row r="933" spans="2:10" ht="14.5">
      <c r="B933" s="47" t="s">
        <v>173</v>
      </c>
      <c r="C933" s="47" t="s">
        <v>64</v>
      </c>
      <c r="D933" s="47" t="s">
        <v>8838</v>
      </c>
      <c r="E933" s="47"/>
      <c r="F933" s="47" t="s">
        <v>7763</v>
      </c>
      <c r="G933" s="364">
        <v>46125</v>
      </c>
      <c r="H933" s="47" t="s">
        <v>7764</v>
      </c>
      <c r="I933" s="47" t="s">
        <v>7765</v>
      </c>
      <c r="J933" s="47" t="s">
        <v>8839</v>
      </c>
    </row>
    <row r="934" spans="2:10" ht="14.5">
      <c r="B934" s="47" t="s">
        <v>324</v>
      </c>
      <c r="C934" s="47" t="s">
        <v>64</v>
      </c>
      <c r="D934" s="47" t="s">
        <v>8840</v>
      </c>
      <c r="E934" s="47" t="s">
        <v>323</v>
      </c>
      <c r="F934" s="47" t="s">
        <v>7763</v>
      </c>
      <c r="G934" s="364">
        <v>46125</v>
      </c>
      <c r="H934" s="47" t="s">
        <v>7764</v>
      </c>
      <c r="I934" s="47" t="s">
        <v>7765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8841</v>
      </c>
      <c r="E935" s="47" t="s">
        <v>391</v>
      </c>
      <c r="F935" s="47" t="s">
        <v>7763</v>
      </c>
      <c r="G935" s="364">
        <v>46129</v>
      </c>
      <c r="H935" s="47" t="s">
        <v>7764</v>
      </c>
      <c r="I935" s="47" t="s">
        <v>7765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8842</v>
      </c>
      <c r="E936" s="47" t="s">
        <v>482</v>
      </c>
      <c r="F936" s="47" t="s">
        <v>7763</v>
      </c>
      <c r="G936" s="364">
        <v>46132</v>
      </c>
      <c r="H936" s="47" t="s">
        <v>7764</v>
      </c>
      <c r="I936" s="47" t="s">
        <v>7765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8843</v>
      </c>
      <c r="E937" s="47" t="s">
        <v>490</v>
      </c>
      <c r="F937" s="47" t="s">
        <v>7763</v>
      </c>
      <c r="G937" s="364">
        <v>46125</v>
      </c>
      <c r="H937" s="47" t="s">
        <v>7764</v>
      </c>
      <c r="I937" s="47" t="s">
        <v>7765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8844</v>
      </c>
      <c r="E938" s="47" t="s">
        <v>494</v>
      </c>
      <c r="F938" s="47" t="s">
        <v>7763</v>
      </c>
      <c r="G938" s="364">
        <v>46125</v>
      </c>
      <c r="H938" s="47" t="s">
        <v>7764</v>
      </c>
      <c r="I938" s="47" t="s">
        <v>7765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8845</v>
      </c>
      <c r="E939" s="47" t="s">
        <v>488</v>
      </c>
      <c r="F939" s="47" t="s">
        <v>7763</v>
      </c>
      <c r="G939" s="364">
        <v>46132</v>
      </c>
      <c r="H939" s="47" t="s">
        <v>7764</v>
      </c>
      <c r="I939" s="47" t="s">
        <v>7765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8846</v>
      </c>
      <c r="E940" s="47" t="s">
        <v>496</v>
      </c>
      <c r="F940" s="47" t="s">
        <v>7763</v>
      </c>
      <c r="G940" s="364">
        <v>46125</v>
      </c>
      <c r="H940" s="47" t="s">
        <v>7764</v>
      </c>
      <c r="I940" s="47" t="s">
        <v>7765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8847</v>
      </c>
      <c r="E941" s="47" t="s">
        <v>498</v>
      </c>
      <c r="F941" s="47" t="s">
        <v>7763</v>
      </c>
      <c r="G941" s="364">
        <v>46125</v>
      </c>
      <c r="H941" s="47" t="s">
        <v>7764</v>
      </c>
      <c r="I941" s="47" t="s">
        <v>7765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8848</v>
      </c>
      <c r="E942" s="47" t="s">
        <v>660</v>
      </c>
      <c r="F942" s="47" t="s">
        <v>7763</v>
      </c>
      <c r="G942" s="364">
        <v>46133</v>
      </c>
      <c r="H942" s="47" t="s">
        <v>7764</v>
      </c>
      <c r="I942" s="47" t="s">
        <v>7765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8849</v>
      </c>
      <c r="E943" s="47" t="s">
        <v>664</v>
      </c>
      <c r="F943" s="47" t="s">
        <v>7763</v>
      </c>
      <c r="G943" s="364">
        <v>46133</v>
      </c>
      <c r="H943" s="47" t="s">
        <v>7764</v>
      </c>
      <c r="I943" s="47" t="s">
        <v>7765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8850</v>
      </c>
      <c r="E944" s="47" t="s">
        <v>319</v>
      </c>
      <c r="F944" s="47" t="s">
        <v>7763</v>
      </c>
      <c r="G944" s="364">
        <v>46125</v>
      </c>
      <c r="H944" s="47" t="s">
        <v>7764</v>
      </c>
      <c r="I944" s="47" t="s">
        <v>7765</v>
      </c>
      <c r="J944" s="47" t="s">
        <v>319</v>
      </c>
    </row>
    <row r="945" spans="2:10" ht="14.5">
      <c r="B945" s="47" t="s">
        <v>7128</v>
      </c>
      <c r="C945" s="47" t="s">
        <v>64</v>
      </c>
      <c r="D945" s="47" t="s">
        <v>8851</v>
      </c>
      <c r="E945" s="47" t="s">
        <v>4234</v>
      </c>
      <c r="F945" s="47" t="s">
        <v>7810</v>
      </c>
      <c r="G945" s="364">
        <v>46142</v>
      </c>
      <c r="H945" s="47" t="s">
        <v>7764</v>
      </c>
      <c r="I945" s="47" t="s">
        <v>7765</v>
      </c>
      <c r="J945" s="47" t="s">
        <v>4234</v>
      </c>
    </row>
    <row r="946" spans="2:10" ht="14.5">
      <c r="B946" s="47" t="s">
        <v>7110</v>
      </c>
      <c r="C946" s="47" t="s">
        <v>64</v>
      </c>
      <c r="D946" s="47" t="s">
        <v>8852</v>
      </c>
      <c r="E946" s="47" t="s">
        <v>297</v>
      </c>
      <c r="F946" s="47" t="s">
        <v>7810</v>
      </c>
      <c r="G946" s="364">
        <v>46121</v>
      </c>
      <c r="H946" s="47" t="s">
        <v>7764</v>
      </c>
      <c r="I946" s="47" t="s">
        <v>7765</v>
      </c>
      <c r="J946" s="47" t="s">
        <v>8853</v>
      </c>
    </row>
    <row r="947" spans="2:10" ht="14.5">
      <c r="B947" s="47" t="s">
        <v>7132</v>
      </c>
      <c r="C947" s="47" t="s">
        <v>64</v>
      </c>
      <c r="D947" s="47" t="s">
        <v>8854</v>
      </c>
      <c r="E947" s="47" t="s">
        <v>8855</v>
      </c>
      <c r="F947" s="47" t="s">
        <v>7810</v>
      </c>
      <c r="G947" s="364">
        <v>46142</v>
      </c>
      <c r="H947" s="47" t="s">
        <v>7764</v>
      </c>
      <c r="I947" s="47" t="s">
        <v>7765</v>
      </c>
      <c r="J947" s="47" t="s">
        <v>8855</v>
      </c>
    </row>
    <row r="948" spans="2:10" ht="14.5">
      <c r="B948" s="47" t="s">
        <v>7119</v>
      </c>
      <c r="C948" s="47" t="s">
        <v>64</v>
      </c>
      <c r="D948" s="47" t="s">
        <v>8856</v>
      </c>
      <c r="E948" s="47"/>
      <c r="F948" s="47" t="s">
        <v>7810</v>
      </c>
      <c r="G948" s="364">
        <v>46142</v>
      </c>
      <c r="H948" s="47" t="s">
        <v>7764</v>
      </c>
      <c r="I948" s="47" t="s">
        <v>7765</v>
      </c>
      <c r="J948" s="47" t="s">
        <v>8857</v>
      </c>
    </row>
    <row r="949" spans="2:10" ht="14.5">
      <c r="B949" s="47" t="s">
        <v>724</v>
      </c>
      <c r="C949" s="47" t="s">
        <v>64</v>
      </c>
      <c r="D949" s="47" t="s">
        <v>8858</v>
      </c>
      <c r="E949" s="47" t="s">
        <v>723</v>
      </c>
      <c r="F949" s="47" t="s">
        <v>7763</v>
      </c>
      <c r="G949" s="364">
        <v>46125</v>
      </c>
      <c r="H949" s="47" t="s">
        <v>7764</v>
      </c>
      <c r="I949" s="47" t="s">
        <v>7765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8859</v>
      </c>
      <c r="E950" s="47" t="s">
        <v>727</v>
      </c>
      <c r="F950" s="47" t="s">
        <v>7763</v>
      </c>
      <c r="G950" s="364">
        <v>46125</v>
      </c>
      <c r="H950" s="47" t="s">
        <v>7764</v>
      </c>
      <c r="I950" s="47" t="s">
        <v>7765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8860</v>
      </c>
      <c r="E951" s="47" t="s">
        <v>638</v>
      </c>
      <c r="F951" s="47" t="s">
        <v>7763</v>
      </c>
      <c r="G951" s="364">
        <v>46134</v>
      </c>
      <c r="H951" s="47" t="s">
        <v>7764</v>
      </c>
      <c r="I951" s="47" t="s">
        <v>7765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8861</v>
      </c>
      <c r="E952" s="47" t="s">
        <v>525</v>
      </c>
      <c r="F952" s="47" t="s">
        <v>7763</v>
      </c>
      <c r="G952" s="364">
        <v>46125</v>
      </c>
      <c r="H952" s="47" t="s">
        <v>7764</v>
      </c>
      <c r="I952" s="47" t="s">
        <v>7765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8862</v>
      </c>
      <c r="E953" s="47" t="s">
        <v>734</v>
      </c>
      <c r="F953" s="47" t="s">
        <v>7763</v>
      </c>
      <c r="G953" s="364">
        <v>46134</v>
      </c>
      <c r="H953" s="47" t="s">
        <v>7764</v>
      </c>
      <c r="I953" s="47" t="s">
        <v>7765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8863</v>
      </c>
      <c r="E954" s="47" t="s">
        <v>990</v>
      </c>
      <c r="F954" s="47" t="s">
        <v>7763</v>
      </c>
      <c r="G954" s="364">
        <v>46134</v>
      </c>
      <c r="H954" s="47" t="s">
        <v>7764</v>
      </c>
      <c r="I954" s="47" t="s">
        <v>7765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8864</v>
      </c>
      <c r="E955" s="47" t="s">
        <v>994</v>
      </c>
      <c r="F955" s="47" t="s">
        <v>7763</v>
      </c>
      <c r="G955" s="364">
        <v>46134</v>
      </c>
      <c r="H955" s="47" t="s">
        <v>7764</v>
      </c>
      <c r="I955" s="47" t="s">
        <v>7765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8865</v>
      </c>
      <c r="E956" s="47" t="s">
        <v>1000</v>
      </c>
      <c r="F956" s="47" t="s">
        <v>7763</v>
      </c>
      <c r="G956" s="364">
        <v>46125</v>
      </c>
      <c r="H956" s="47" t="s">
        <v>7764</v>
      </c>
      <c r="I956" s="47" t="s">
        <v>7765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8866</v>
      </c>
      <c r="E957" s="47" t="s">
        <v>736</v>
      </c>
      <c r="F957" s="47" t="s">
        <v>7763</v>
      </c>
      <c r="G957" s="364">
        <v>46150</v>
      </c>
      <c r="H957" s="47" t="s">
        <v>7764</v>
      </c>
      <c r="I957" s="47" t="s">
        <v>7765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8867</v>
      </c>
      <c r="E958" s="47" t="s">
        <v>742</v>
      </c>
      <c r="F958" s="47" t="s">
        <v>7763</v>
      </c>
      <c r="G958" s="364">
        <v>46150</v>
      </c>
      <c r="H958" s="47" t="s">
        <v>7764</v>
      </c>
      <c r="I958" s="47" t="s">
        <v>7765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8868</v>
      </c>
      <c r="E959" s="47" t="s">
        <v>1006</v>
      </c>
      <c r="F959" s="47" t="s">
        <v>7763</v>
      </c>
      <c r="G959" s="364">
        <v>46150</v>
      </c>
      <c r="H959" s="47" t="s">
        <v>7764</v>
      </c>
      <c r="I959" s="47" t="s">
        <v>7765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8869</v>
      </c>
      <c r="E960" s="47" t="s">
        <v>744</v>
      </c>
      <c r="F960" s="47" t="s">
        <v>7763</v>
      </c>
      <c r="G960" s="364">
        <v>46150</v>
      </c>
      <c r="H960" s="47" t="s">
        <v>7764</v>
      </c>
      <c r="I960" s="47" t="s">
        <v>7765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8870</v>
      </c>
      <c r="E961" s="47" t="s">
        <v>746</v>
      </c>
      <c r="F961" s="47" t="s">
        <v>7763</v>
      </c>
      <c r="G961" s="364">
        <v>46121</v>
      </c>
      <c r="H961" s="47" t="s">
        <v>7764</v>
      </c>
      <c r="I961" s="47" t="s">
        <v>7765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8871</v>
      </c>
      <c r="E962" s="47" t="s">
        <v>751</v>
      </c>
      <c r="F962" s="47" t="s">
        <v>7763</v>
      </c>
      <c r="G962" s="364">
        <v>46135</v>
      </c>
      <c r="H962" s="47" t="s">
        <v>7764</v>
      </c>
      <c r="I962" s="47" t="s">
        <v>7765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8872</v>
      </c>
      <c r="E963" s="47" t="s">
        <v>755</v>
      </c>
      <c r="F963" s="47" t="s">
        <v>7763</v>
      </c>
      <c r="G963" s="364">
        <v>46135</v>
      </c>
      <c r="H963" s="47" t="s">
        <v>7764</v>
      </c>
      <c r="I963" s="47" t="s">
        <v>7765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8873</v>
      </c>
      <c r="E964" s="47" t="s">
        <v>757</v>
      </c>
      <c r="F964" s="47" t="s">
        <v>7763</v>
      </c>
      <c r="G964" s="364">
        <v>46135</v>
      </c>
      <c r="H964" s="47" t="s">
        <v>7764</v>
      </c>
      <c r="I964" s="47" t="s">
        <v>7765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8874</v>
      </c>
      <c r="E965" s="47" t="s">
        <v>112</v>
      </c>
      <c r="F965" s="47" t="s">
        <v>7763</v>
      </c>
      <c r="G965" s="364">
        <v>46135</v>
      </c>
      <c r="H965" s="47" t="s">
        <v>7764</v>
      </c>
      <c r="I965" s="47" t="s">
        <v>7765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8875</v>
      </c>
      <c r="E966" s="47" t="s">
        <v>762</v>
      </c>
      <c r="F966" s="47" t="s">
        <v>7763</v>
      </c>
      <c r="G966" s="364">
        <v>46129</v>
      </c>
      <c r="H966" s="47" t="s">
        <v>7764</v>
      </c>
      <c r="I966" s="47" t="s">
        <v>7765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8876</v>
      </c>
      <c r="E967" s="47" t="s">
        <v>985</v>
      </c>
      <c r="F967" s="47" t="s">
        <v>7763</v>
      </c>
      <c r="G967" s="364">
        <v>46150</v>
      </c>
      <c r="H967" s="47" t="s">
        <v>7764</v>
      </c>
      <c r="I967" s="47" t="s">
        <v>7765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8877</v>
      </c>
      <c r="E968" s="47" t="s">
        <v>768</v>
      </c>
      <c r="F968" s="47" t="s">
        <v>7763</v>
      </c>
      <c r="G968" s="364">
        <v>46150</v>
      </c>
      <c r="H968" s="47" t="s">
        <v>7764</v>
      </c>
      <c r="I968" s="47" t="s">
        <v>7765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8878</v>
      </c>
      <c r="E969" s="47" t="s">
        <v>1011</v>
      </c>
      <c r="F969" s="47" t="s">
        <v>7763</v>
      </c>
      <c r="G969" s="364">
        <v>46148</v>
      </c>
      <c r="H969" s="47" t="s">
        <v>7764</v>
      </c>
      <c r="I969" s="47" t="s">
        <v>7765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8879</v>
      </c>
      <c r="E970" s="47" t="s">
        <v>775</v>
      </c>
      <c r="F970" s="47" t="s">
        <v>7763</v>
      </c>
      <c r="G970" s="364">
        <v>46160</v>
      </c>
      <c r="H970" s="47" t="s">
        <v>7764</v>
      </c>
      <c r="I970" s="47" t="s">
        <v>7765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8880</v>
      </c>
      <c r="E971" s="47" t="s">
        <v>779</v>
      </c>
      <c r="F971" s="47" t="s">
        <v>7763</v>
      </c>
      <c r="G971" s="364">
        <v>46160</v>
      </c>
      <c r="H971" s="47" t="s">
        <v>7764</v>
      </c>
      <c r="I971" s="47" t="s">
        <v>7765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8881</v>
      </c>
      <c r="E972" s="47" t="s">
        <v>782</v>
      </c>
      <c r="F972" s="47" t="s">
        <v>7763</v>
      </c>
      <c r="G972" s="364">
        <v>46160</v>
      </c>
      <c r="H972" s="47" t="s">
        <v>7764</v>
      </c>
      <c r="I972" s="47" t="s">
        <v>7765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8882</v>
      </c>
      <c r="E973" s="47" t="s">
        <v>784</v>
      </c>
      <c r="F973" s="47" t="s">
        <v>7763</v>
      </c>
      <c r="G973" s="364">
        <v>46160</v>
      </c>
      <c r="H973" s="47" t="s">
        <v>7764</v>
      </c>
      <c r="I973" s="47" t="s">
        <v>7765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8883</v>
      </c>
      <c r="E974" s="47" t="s">
        <v>786</v>
      </c>
      <c r="F974" s="47" t="s">
        <v>7763</v>
      </c>
      <c r="G974" s="364">
        <v>46160</v>
      </c>
      <c r="H974" s="47" t="s">
        <v>7764</v>
      </c>
      <c r="I974" s="47" t="s">
        <v>7765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8884</v>
      </c>
      <c r="E975" s="47" t="s">
        <v>790</v>
      </c>
      <c r="F975" s="47" t="s">
        <v>7763</v>
      </c>
      <c r="G975" s="364">
        <v>46150</v>
      </c>
      <c r="H975" s="47" t="s">
        <v>7764</v>
      </c>
      <c r="I975" s="47" t="s">
        <v>7765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8885</v>
      </c>
      <c r="E976" s="47" t="s">
        <v>795</v>
      </c>
      <c r="F976" s="47" t="s">
        <v>7763</v>
      </c>
      <c r="G976" s="364">
        <v>46150</v>
      </c>
      <c r="H976" s="47" t="s">
        <v>7764</v>
      </c>
      <c r="I976" s="47" t="s">
        <v>7765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8886</v>
      </c>
      <c r="E977" s="47" t="s">
        <v>817</v>
      </c>
      <c r="F977" s="47" t="s">
        <v>7763</v>
      </c>
      <c r="G977" s="364">
        <v>46147</v>
      </c>
      <c r="H977" s="47" t="s">
        <v>7764</v>
      </c>
      <c r="I977" s="47" t="s">
        <v>7765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8887</v>
      </c>
      <c r="E978" s="47" t="s">
        <v>193</v>
      </c>
      <c r="F978" s="47" t="s">
        <v>7763</v>
      </c>
      <c r="G978" s="364">
        <v>46150</v>
      </c>
      <c r="H978" s="47" t="s">
        <v>7764</v>
      </c>
      <c r="I978" s="47" t="s">
        <v>7765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8888</v>
      </c>
      <c r="E979" s="47" t="s">
        <v>1013</v>
      </c>
      <c r="F979" s="47" t="s">
        <v>7763</v>
      </c>
      <c r="G979" s="364">
        <v>46150</v>
      </c>
      <c r="H979" s="47" t="s">
        <v>7764</v>
      </c>
      <c r="I979" s="47" t="s">
        <v>7765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8889</v>
      </c>
      <c r="E980" s="47" t="s">
        <v>799</v>
      </c>
      <c r="F980" s="47" t="s">
        <v>7763</v>
      </c>
      <c r="G980" s="364">
        <v>46150</v>
      </c>
      <c r="H980" s="47" t="s">
        <v>7764</v>
      </c>
      <c r="I980" s="47" t="s">
        <v>7765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8890</v>
      </c>
      <c r="E981" s="47" t="s">
        <v>1015</v>
      </c>
      <c r="F981" s="47" t="s">
        <v>7763</v>
      </c>
      <c r="G981" s="364">
        <v>46150</v>
      </c>
      <c r="H981" s="47" t="s">
        <v>7764</v>
      </c>
      <c r="I981" s="47" t="s">
        <v>7765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8891</v>
      </c>
      <c r="E982" s="47" t="s">
        <v>805</v>
      </c>
      <c r="F982" s="47" t="s">
        <v>7763</v>
      </c>
      <c r="G982" s="364">
        <v>46150</v>
      </c>
      <c r="H982" s="47" t="s">
        <v>7764</v>
      </c>
      <c r="I982" s="47" t="s">
        <v>7765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8892</v>
      </c>
      <c r="E983" s="47" t="s">
        <v>1020</v>
      </c>
      <c r="F983" s="47" t="s">
        <v>7763</v>
      </c>
      <c r="G983" s="364">
        <v>46150</v>
      </c>
      <c r="H983" s="47" t="s">
        <v>7764</v>
      </c>
      <c r="I983" s="47" t="s">
        <v>7765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8893</v>
      </c>
      <c r="E984" s="47" t="s">
        <v>1023</v>
      </c>
      <c r="F984" s="47" t="s">
        <v>7763</v>
      </c>
      <c r="G984" s="364">
        <v>46150</v>
      </c>
      <c r="H984" s="47" t="s">
        <v>7764</v>
      </c>
      <c r="I984" s="47" t="s">
        <v>7765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8894</v>
      </c>
      <c r="E985" s="47" t="s">
        <v>1026</v>
      </c>
      <c r="F985" s="47" t="s">
        <v>7763</v>
      </c>
      <c r="G985" s="364">
        <v>46150</v>
      </c>
      <c r="H985" s="47" t="s">
        <v>7764</v>
      </c>
      <c r="I985" s="47" t="s">
        <v>7765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8895</v>
      </c>
      <c r="E986" s="47" t="s">
        <v>801</v>
      </c>
      <c r="F986" s="47" t="s">
        <v>7763</v>
      </c>
      <c r="G986" s="364">
        <v>46150</v>
      </c>
      <c r="H986" s="47" t="s">
        <v>7764</v>
      </c>
      <c r="I986" s="47" t="s">
        <v>7765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8896</v>
      </c>
      <c r="E987" s="47" t="s">
        <v>811</v>
      </c>
      <c r="F987" s="47" t="s">
        <v>7763</v>
      </c>
      <c r="G987" s="364">
        <v>46153</v>
      </c>
      <c r="H987" s="47" t="s">
        <v>7764</v>
      </c>
      <c r="I987" s="47" t="s">
        <v>7765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8897</v>
      </c>
      <c r="E988" s="47" t="s">
        <v>245</v>
      </c>
      <c r="F988" s="47" t="s">
        <v>7763</v>
      </c>
      <c r="G988" s="364">
        <v>46100</v>
      </c>
      <c r="H988" s="47" t="s">
        <v>7764</v>
      </c>
      <c r="I988" s="47" t="s">
        <v>7765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8898</v>
      </c>
      <c r="E989" s="47" t="s">
        <v>265</v>
      </c>
      <c r="F989" s="47" t="s">
        <v>7763</v>
      </c>
      <c r="G989" s="364">
        <v>46095</v>
      </c>
      <c r="H989" s="47" t="s">
        <v>7764</v>
      </c>
      <c r="I989" s="47" t="s">
        <v>7765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8899</v>
      </c>
      <c r="E990" s="47" t="s">
        <v>520</v>
      </c>
      <c r="F990" s="47" t="s">
        <v>7763</v>
      </c>
      <c r="G990" s="364">
        <v>46107</v>
      </c>
      <c r="H990" s="47" t="s">
        <v>7764</v>
      </c>
      <c r="I990" s="47" t="s">
        <v>7765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8900</v>
      </c>
      <c r="E991" s="47" t="s">
        <v>514</v>
      </c>
      <c r="F991" s="47" t="s">
        <v>7763</v>
      </c>
      <c r="G991" s="364">
        <v>46120</v>
      </c>
      <c r="H991" s="47" t="s">
        <v>7764</v>
      </c>
      <c r="I991" s="47" t="s">
        <v>7765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8901</v>
      </c>
      <c r="E992" s="47" t="s">
        <v>711</v>
      </c>
      <c r="F992" s="47" t="s">
        <v>7763</v>
      </c>
      <c r="G992" s="364">
        <v>46150</v>
      </c>
      <c r="H992" s="47" t="s">
        <v>7764</v>
      </c>
      <c r="I992" s="47" t="s">
        <v>7765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8902</v>
      </c>
      <c r="E993" s="47" t="s">
        <v>704</v>
      </c>
      <c r="F993" s="47" t="s">
        <v>7763</v>
      </c>
      <c r="G993" s="364">
        <v>46139</v>
      </c>
      <c r="H993" s="47" t="s">
        <v>7764</v>
      </c>
      <c r="I993" s="47" t="s">
        <v>7765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8903</v>
      </c>
      <c r="E994" s="47" t="s">
        <v>720</v>
      </c>
      <c r="F994" s="47" t="s">
        <v>7763</v>
      </c>
      <c r="G994" s="364">
        <v>46150</v>
      </c>
      <c r="H994" s="47" t="s">
        <v>7764</v>
      </c>
      <c r="I994" s="47" t="s">
        <v>7765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8904</v>
      </c>
      <c r="E995" s="47" t="s">
        <v>88</v>
      </c>
      <c r="F995" s="47" t="s">
        <v>7763</v>
      </c>
      <c r="G995" s="364">
        <v>46150</v>
      </c>
      <c r="H995" s="47" t="s">
        <v>7764</v>
      </c>
      <c r="I995" s="47" t="s">
        <v>7765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8905</v>
      </c>
      <c r="E996" s="47" t="s">
        <v>978</v>
      </c>
      <c r="F996" s="47" t="s">
        <v>7763</v>
      </c>
      <c r="G996" s="364">
        <v>46129</v>
      </c>
      <c r="H996" s="47" t="s">
        <v>7764</v>
      </c>
      <c r="I996" s="47" t="s">
        <v>7765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8906</v>
      </c>
      <c r="E997" s="47" t="s">
        <v>974</v>
      </c>
      <c r="F997" s="47" t="s">
        <v>7763</v>
      </c>
      <c r="G997" s="364">
        <v>46125</v>
      </c>
      <c r="H997" s="47" t="s">
        <v>7764</v>
      </c>
      <c r="I997" s="47" t="s">
        <v>7765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8907</v>
      </c>
      <c r="E998" s="47" t="s">
        <v>635</v>
      </c>
      <c r="F998" s="47" t="s">
        <v>7763</v>
      </c>
      <c r="G998" s="364">
        <v>46121</v>
      </c>
      <c r="H998" s="47" t="s">
        <v>7764</v>
      </c>
      <c r="I998" s="47" t="s">
        <v>7765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8908</v>
      </c>
      <c r="E999" s="47" t="s">
        <v>630</v>
      </c>
      <c r="F999" s="47" t="s">
        <v>7763</v>
      </c>
      <c r="G999" s="364">
        <v>46121</v>
      </c>
      <c r="H999" s="47" t="s">
        <v>7764</v>
      </c>
      <c r="I999" s="47" t="s">
        <v>7765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8909</v>
      </c>
      <c r="E1000" s="47" t="s">
        <v>984</v>
      </c>
      <c r="F1000" s="47" t="s">
        <v>7763</v>
      </c>
      <c r="G1000" s="364">
        <v>46129</v>
      </c>
      <c r="H1000" s="47" t="s">
        <v>7764</v>
      </c>
      <c r="I1000" s="47" t="s">
        <v>7765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8910</v>
      </c>
      <c r="E1001" s="47" t="s">
        <v>637</v>
      </c>
      <c r="F1001" s="47" t="s">
        <v>7763</v>
      </c>
      <c r="G1001" s="364">
        <v>46121</v>
      </c>
      <c r="H1001" s="47" t="s">
        <v>7764</v>
      </c>
      <c r="I1001" s="47" t="s">
        <v>7765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8911</v>
      </c>
      <c r="E1002" s="47" t="s">
        <v>576</v>
      </c>
      <c r="F1002" s="47" t="s">
        <v>7763</v>
      </c>
      <c r="G1002" s="364">
        <v>46129</v>
      </c>
      <c r="H1002" s="47" t="s">
        <v>7764</v>
      </c>
      <c r="I1002" s="47" t="s">
        <v>7765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8912</v>
      </c>
      <c r="E1003" s="47" t="s">
        <v>626</v>
      </c>
      <c r="F1003" s="47" t="s">
        <v>7763</v>
      </c>
      <c r="G1003" s="364">
        <v>46120</v>
      </c>
      <c r="H1003" s="47" t="s">
        <v>7764</v>
      </c>
      <c r="I1003" s="47" t="s">
        <v>7765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8913</v>
      </c>
      <c r="E1004" s="47" t="s">
        <v>640</v>
      </c>
      <c r="F1004" s="47" t="s">
        <v>7763</v>
      </c>
      <c r="G1004" s="364">
        <v>46115</v>
      </c>
      <c r="H1004" s="47" t="s">
        <v>7764</v>
      </c>
      <c r="I1004" s="47" t="s">
        <v>7765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8914</v>
      </c>
      <c r="E1005" s="47" t="s">
        <v>645</v>
      </c>
      <c r="F1005" s="47" t="s">
        <v>7763</v>
      </c>
      <c r="G1005" s="364">
        <v>46111</v>
      </c>
      <c r="H1005" s="47" t="s">
        <v>7764</v>
      </c>
      <c r="I1005" s="47" t="s">
        <v>7765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8915</v>
      </c>
      <c r="E1006" s="47" t="s">
        <v>699</v>
      </c>
      <c r="F1006" s="47" t="s">
        <v>7763</v>
      </c>
      <c r="G1006" s="364">
        <v>46129</v>
      </c>
      <c r="H1006" s="47" t="s">
        <v>7764</v>
      </c>
      <c r="I1006" s="47" t="s">
        <v>7765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8916</v>
      </c>
      <c r="E1007" s="47" t="s">
        <v>477</v>
      </c>
      <c r="F1007" s="47" t="s">
        <v>7763</v>
      </c>
      <c r="G1007" s="364">
        <v>46120</v>
      </c>
      <c r="H1007" s="47" t="s">
        <v>7764</v>
      </c>
      <c r="I1007" s="47" t="s">
        <v>7765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8917</v>
      </c>
      <c r="E1008" s="47" t="s">
        <v>460</v>
      </c>
      <c r="F1008" s="47" t="s">
        <v>7763</v>
      </c>
      <c r="G1008" s="364">
        <v>46115</v>
      </c>
      <c r="H1008" s="47" t="s">
        <v>7764</v>
      </c>
      <c r="I1008" s="47" t="s">
        <v>7765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8918</v>
      </c>
      <c r="E1009" s="47" t="s">
        <v>469</v>
      </c>
      <c r="F1009" s="47" t="s">
        <v>7763</v>
      </c>
      <c r="G1009" s="364">
        <v>46115</v>
      </c>
      <c r="H1009" s="47" t="s">
        <v>7764</v>
      </c>
      <c r="I1009" s="47" t="s">
        <v>7765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8919</v>
      </c>
      <c r="E1010" s="47" t="s">
        <v>621</v>
      </c>
      <c r="F1010" s="47" t="s">
        <v>7763</v>
      </c>
      <c r="G1010" s="364">
        <v>46120</v>
      </c>
      <c r="H1010" s="47" t="s">
        <v>7764</v>
      </c>
      <c r="I1010" s="47" t="s">
        <v>7765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8920</v>
      </c>
      <c r="E1011" s="47" t="s">
        <v>471</v>
      </c>
      <c r="F1011" s="47" t="s">
        <v>7763</v>
      </c>
      <c r="G1011" s="364">
        <v>46115</v>
      </c>
      <c r="H1011" s="47" t="s">
        <v>7764</v>
      </c>
      <c r="I1011" s="47" t="s">
        <v>7765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8921</v>
      </c>
      <c r="E1012" s="47" t="s">
        <v>651</v>
      </c>
      <c r="F1012" s="47" t="s">
        <v>7763</v>
      </c>
      <c r="G1012" s="364">
        <v>46115</v>
      </c>
      <c r="H1012" s="47" t="s">
        <v>7764</v>
      </c>
      <c r="I1012" s="47" t="s">
        <v>7765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8922</v>
      </c>
      <c r="E1013" s="47" t="s">
        <v>687</v>
      </c>
      <c r="F1013" s="47" t="s">
        <v>7763</v>
      </c>
      <c r="G1013" s="364">
        <v>46146</v>
      </c>
      <c r="H1013" s="47" t="s">
        <v>7764</v>
      </c>
      <c r="I1013" s="47" t="s">
        <v>7765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8923</v>
      </c>
      <c r="E1014" s="47" t="s">
        <v>697</v>
      </c>
      <c r="F1014" s="47" t="s">
        <v>7763</v>
      </c>
      <c r="G1014" s="364">
        <v>46146</v>
      </c>
      <c r="H1014" s="47" t="s">
        <v>7764</v>
      </c>
      <c r="I1014" s="47" t="s">
        <v>7765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8924</v>
      </c>
      <c r="E1015" s="47" t="s">
        <v>609</v>
      </c>
      <c r="F1015" s="47" t="s">
        <v>7763</v>
      </c>
      <c r="G1015" s="364">
        <v>46104</v>
      </c>
      <c r="H1015" s="47" t="s">
        <v>7764</v>
      </c>
      <c r="I1015" s="47" t="s">
        <v>7765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8925</v>
      </c>
      <c r="E1016" s="47" t="s">
        <v>600</v>
      </c>
      <c r="F1016" s="47" t="s">
        <v>7763</v>
      </c>
      <c r="G1016" s="364">
        <v>46114</v>
      </c>
      <c r="H1016" s="47" t="s">
        <v>7764</v>
      </c>
      <c r="I1016" s="47" t="s">
        <v>7765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8926</v>
      </c>
      <c r="E1017" s="47" t="s">
        <v>282</v>
      </c>
      <c r="F1017" s="47" t="s">
        <v>7763</v>
      </c>
      <c r="G1017" s="364">
        <v>46111</v>
      </c>
      <c r="H1017" s="47" t="s">
        <v>7764</v>
      </c>
      <c r="I1017" s="47" t="s">
        <v>7765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8927</v>
      </c>
      <c r="E1018" s="47" t="s">
        <v>448</v>
      </c>
      <c r="F1018" s="47" t="s">
        <v>7763</v>
      </c>
      <c r="G1018" s="364">
        <v>46120</v>
      </c>
      <c r="H1018" s="47" t="s">
        <v>7764</v>
      </c>
      <c r="I1018" s="47" t="s">
        <v>7765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8928</v>
      </c>
      <c r="E1019" s="47" t="s">
        <v>411</v>
      </c>
      <c r="F1019" s="47" t="s">
        <v>7763</v>
      </c>
      <c r="G1019" s="364">
        <v>46104</v>
      </c>
      <c r="H1019" s="47" t="s">
        <v>7764</v>
      </c>
      <c r="I1019" s="47" t="s">
        <v>7765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8929</v>
      </c>
      <c r="E1020" s="47" t="s">
        <v>615</v>
      </c>
      <c r="F1020" s="47" t="s">
        <v>7763</v>
      </c>
      <c r="G1020" s="364">
        <v>46105</v>
      </c>
      <c r="H1020" s="47" t="s">
        <v>7764</v>
      </c>
      <c r="I1020" s="47" t="s">
        <v>7765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8930</v>
      </c>
      <c r="E1021" s="47" t="s">
        <v>415</v>
      </c>
      <c r="F1021" s="47" t="s">
        <v>7763</v>
      </c>
      <c r="G1021" s="364">
        <v>46104</v>
      </c>
      <c r="H1021" s="47" t="s">
        <v>7764</v>
      </c>
      <c r="I1021" s="47" t="s">
        <v>7765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7763</v>
      </c>
      <c r="G1022" s="364">
        <v>46115</v>
      </c>
      <c r="H1022" s="47" t="s">
        <v>7764</v>
      </c>
      <c r="I1022" s="47" t="s">
        <v>7765</v>
      </c>
      <c r="J1022" s="47" t="s">
        <v>8931</v>
      </c>
    </row>
    <row r="1023" spans="2:10" ht="14.5">
      <c r="B1023" s="47" t="s">
        <v>444</v>
      </c>
      <c r="C1023" s="47" t="s">
        <v>64</v>
      </c>
      <c r="D1023" s="47" t="s">
        <v>8932</v>
      </c>
      <c r="E1023" s="47" t="s">
        <v>443</v>
      </c>
      <c r="F1023" s="47" t="s">
        <v>7763</v>
      </c>
      <c r="G1023" s="364">
        <v>46105</v>
      </c>
      <c r="H1023" s="47" t="s">
        <v>7764</v>
      </c>
      <c r="I1023" s="47" t="s">
        <v>7765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8933</v>
      </c>
      <c r="E1024" s="47" t="s">
        <v>440</v>
      </c>
      <c r="F1024" s="47" t="s">
        <v>7763</v>
      </c>
      <c r="G1024" s="364">
        <v>46105</v>
      </c>
      <c r="H1024" s="47" t="s">
        <v>7764</v>
      </c>
      <c r="I1024" s="47" t="s">
        <v>7765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8934</v>
      </c>
      <c r="E1025" s="47" t="s">
        <v>435</v>
      </c>
      <c r="F1025" s="47" t="s">
        <v>7763</v>
      </c>
      <c r="G1025" s="364">
        <v>46105</v>
      </c>
      <c r="H1025" s="47" t="s">
        <v>7764</v>
      </c>
      <c r="I1025" s="47" t="s">
        <v>7765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8935</v>
      </c>
      <c r="E1026" s="47" t="s">
        <v>437</v>
      </c>
      <c r="F1026" s="47" t="s">
        <v>7763</v>
      </c>
      <c r="G1026" s="364">
        <v>46105</v>
      </c>
      <c r="H1026" s="47" t="s">
        <v>7764</v>
      </c>
      <c r="I1026" s="47" t="s">
        <v>7765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8936</v>
      </c>
      <c r="E1027" s="47" t="s">
        <v>430</v>
      </c>
      <c r="F1027" s="47" t="s">
        <v>7763</v>
      </c>
      <c r="G1027" s="364">
        <v>46105</v>
      </c>
      <c r="H1027" s="47" t="s">
        <v>7764</v>
      </c>
      <c r="I1027" s="47" t="s">
        <v>7765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8937</v>
      </c>
      <c r="E1028" s="47" t="s">
        <v>425</v>
      </c>
      <c r="F1028" s="47" t="s">
        <v>7763</v>
      </c>
      <c r="G1028" s="364">
        <v>46118</v>
      </c>
      <c r="H1028" s="47" t="s">
        <v>7764</v>
      </c>
      <c r="I1028" s="47" t="s">
        <v>7765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8938</v>
      </c>
      <c r="E1029" s="47" t="s">
        <v>352</v>
      </c>
      <c r="F1029" s="47" t="s">
        <v>7763</v>
      </c>
      <c r="G1029" s="364">
        <v>46099</v>
      </c>
      <c r="H1029" s="47" t="s">
        <v>7764</v>
      </c>
      <c r="I1029" s="47" t="s">
        <v>7765</v>
      </c>
      <c r="J1029" s="47" t="s">
        <v>352</v>
      </c>
    </row>
    <row r="1030" spans="2:10" ht="14.5">
      <c r="B1030" s="47" t="s">
        <v>531</v>
      </c>
      <c r="C1030" s="47" t="s">
        <v>7761</v>
      </c>
      <c r="D1030" s="47" t="s">
        <v>8939</v>
      </c>
      <c r="E1030" s="47" t="s">
        <v>524</v>
      </c>
      <c r="F1030" s="47" t="s">
        <v>7763</v>
      </c>
      <c r="G1030" s="364">
        <v>46120</v>
      </c>
      <c r="H1030" s="47" t="s">
        <v>7764</v>
      </c>
      <c r="I1030" s="47" t="s">
        <v>7765</v>
      </c>
      <c r="J1030" s="47" t="s">
        <v>524</v>
      </c>
    </row>
    <row r="1031" spans="2:10" ht="14.5">
      <c r="B1031" s="47" t="s">
        <v>968</v>
      </c>
      <c r="C1031" s="47" t="s">
        <v>7761</v>
      </c>
      <c r="D1031" s="47" t="s">
        <v>8940</v>
      </c>
      <c r="E1031" s="47" t="s">
        <v>962</v>
      </c>
      <c r="F1031" s="47" t="s">
        <v>7763</v>
      </c>
      <c r="G1031" s="364">
        <v>46134</v>
      </c>
      <c r="H1031" s="47" t="s">
        <v>7764</v>
      </c>
      <c r="I1031" s="47" t="s">
        <v>7765</v>
      </c>
      <c r="J1031" s="47" t="s">
        <v>962</v>
      </c>
    </row>
    <row r="1032" spans="2:10" ht="14.5">
      <c r="B1032" s="47" t="s">
        <v>678</v>
      </c>
      <c r="C1032" s="47" t="s">
        <v>7761</v>
      </c>
      <c r="D1032" s="47" t="s">
        <v>8941</v>
      </c>
      <c r="E1032" s="47" t="s">
        <v>676</v>
      </c>
      <c r="F1032" s="47" t="s">
        <v>7763</v>
      </c>
      <c r="G1032" s="364">
        <v>46104</v>
      </c>
      <c r="H1032" s="47" t="s">
        <v>7764</v>
      </c>
      <c r="I1032" s="47" t="s">
        <v>7765</v>
      </c>
      <c r="J1032" s="47" t="s">
        <v>676</v>
      </c>
    </row>
    <row r="1033" spans="2:10" ht="14.5">
      <c r="B1033" s="47" t="s">
        <v>682</v>
      </c>
      <c r="C1033" s="47" t="s">
        <v>7761</v>
      </c>
      <c r="D1033" s="47" t="s">
        <v>8942</v>
      </c>
      <c r="E1033" s="47" t="s">
        <v>681</v>
      </c>
      <c r="F1033" s="47" t="s">
        <v>7763</v>
      </c>
      <c r="G1033" s="364">
        <v>46101</v>
      </c>
      <c r="H1033" s="47" t="s">
        <v>7764</v>
      </c>
      <c r="I1033" s="47" t="s">
        <v>7765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8943</v>
      </c>
      <c r="E1034" s="47" t="s">
        <v>317</v>
      </c>
      <c r="F1034" s="47" t="s">
        <v>7763</v>
      </c>
      <c r="G1034" s="364">
        <v>46092</v>
      </c>
      <c r="H1034" s="47" t="s">
        <v>7764</v>
      </c>
      <c r="I1034" s="47" t="s">
        <v>7765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8944</v>
      </c>
      <c r="E1035" s="47" t="s">
        <v>417</v>
      </c>
      <c r="F1035" s="47" t="s">
        <v>7763</v>
      </c>
      <c r="G1035" s="364">
        <v>46104</v>
      </c>
      <c r="H1035" s="47" t="s">
        <v>7764</v>
      </c>
      <c r="I1035" s="47" t="s">
        <v>7765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8945</v>
      </c>
      <c r="E1036" s="47" t="s">
        <v>375</v>
      </c>
      <c r="F1036" s="47" t="s">
        <v>7763</v>
      </c>
      <c r="G1036" s="364">
        <v>46091</v>
      </c>
      <c r="H1036" s="47" t="s">
        <v>7764</v>
      </c>
      <c r="I1036" s="47" t="s">
        <v>7765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8946</v>
      </c>
      <c r="E1037" s="47" t="s">
        <v>373</v>
      </c>
      <c r="F1037" s="47" t="s">
        <v>7763</v>
      </c>
      <c r="G1037" s="364">
        <v>46091</v>
      </c>
      <c r="H1037" s="47" t="s">
        <v>7764</v>
      </c>
      <c r="I1037" s="47" t="s">
        <v>7765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8947</v>
      </c>
      <c r="E1038" s="47" t="s">
        <v>368</v>
      </c>
      <c r="F1038" s="47" t="s">
        <v>7763</v>
      </c>
      <c r="G1038" s="364">
        <v>46091</v>
      </c>
      <c r="H1038" s="47" t="s">
        <v>7764</v>
      </c>
      <c r="I1038" s="47" t="s">
        <v>7765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8948</v>
      </c>
      <c r="E1039" s="47" t="s">
        <v>362</v>
      </c>
      <c r="F1039" s="47" t="s">
        <v>7763</v>
      </c>
      <c r="G1039" s="364">
        <v>46091</v>
      </c>
      <c r="H1039" s="47" t="s">
        <v>7764</v>
      </c>
      <c r="I1039" s="47" t="s">
        <v>7765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8949</v>
      </c>
      <c r="E1040" s="47" t="s">
        <v>366</v>
      </c>
      <c r="F1040" s="47" t="s">
        <v>7763</v>
      </c>
      <c r="G1040" s="364">
        <v>46091</v>
      </c>
      <c r="H1040" s="47" t="s">
        <v>7764</v>
      </c>
      <c r="I1040" s="47" t="s">
        <v>7765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8950</v>
      </c>
      <c r="E1041" s="47" t="s">
        <v>360</v>
      </c>
      <c r="F1041" s="47" t="s">
        <v>7763</v>
      </c>
      <c r="G1041" s="364">
        <v>46091</v>
      </c>
      <c r="H1041" s="47" t="s">
        <v>7764</v>
      </c>
      <c r="I1041" s="47" t="s">
        <v>7765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8951</v>
      </c>
      <c r="E1042" s="47" t="s">
        <v>351</v>
      </c>
      <c r="F1042" s="47" t="s">
        <v>7763</v>
      </c>
      <c r="G1042" s="364">
        <v>46091</v>
      </c>
      <c r="H1042" s="47" t="s">
        <v>7764</v>
      </c>
      <c r="I1042" s="47" t="s">
        <v>7765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8952</v>
      </c>
      <c r="E1043" s="47" t="s">
        <v>278</v>
      </c>
      <c r="F1043" s="47" t="s">
        <v>7763</v>
      </c>
      <c r="G1043" s="364">
        <v>46093</v>
      </c>
      <c r="H1043" s="47" t="s">
        <v>7764</v>
      </c>
      <c r="I1043" s="47" t="s">
        <v>7765</v>
      </c>
      <c r="J1043" s="47" t="s">
        <v>278</v>
      </c>
    </row>
    <row r="1044" spans="2:10" ht="14.5">
      <c r="B1044" s="47" t="s">
        <v>8834</v>
      </c>
      <c r="C1044" s="47" t="s">
        <v>64</v>
      </c>
      <c r="D1044" s="47" t="s">
        <v>8953</v>
      </c>
      <c r="E1044" s="47" t="s">
        <v>254</v>
      </c>
      <c r="F1044" s="47" t="s">
        <v>7763</v>
      </c>
      <c r="G1044" s="364">
        <v>46094</v>
      </c>
      <c r="H1044" s="47" t="s">
        <v>7911</v>
      </c>
      <c r="I1044" s="47" t="s">
        <v>7765</v>
      </c>
      <c r="J1044" s="47" t="s">
        <v>254</v>
      </c>
    </row>
    <row r="1045" spans="2:10" ht="14.5">
      <c r="B1045" s="47" t="s">
        <v>8836</v>
      </c>
      <c r="C1045" s="47" t="s">
        <v>64</v>
      </c>
      <c r="D1045" s="47" t="s">
        <v>8954</v>
      </c>
      <c r="E1045" s="47" t="s">
        <v>258</v>
      </c>
      <c r="F1045" s="47" t="s">
        <v>7763</v>
      </c>
      <c r="G1045" s="364">
        <v>46094</v>
      </c>
      <c r="H1045" s="47" t="s">
        <v>7911</v>
      </c>
      <c r="I1045" s="47" t="s">
        <v>7765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8955</v>
      </c>
      <c r="E1046" s="47" t="s">
        <v>309</v>
      </c>
      <c r="F1046" s="47" t="s">
        <v>7763</v>
      </c>
      <c r="G1046" s="364">
        <v>46092</v>
      </c>
      <c r="H1046" s="47" t="s">
        <v>7764</v>
      </c>
      <c r="I1046" s="47" t="s">
        <v>7765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8956</v>
      </c>
      <c r="E1047" s="47" t="s">
        <v>396</v>
      </c>
      <c r="F1047" s="47" t="s">
        <v>7763</v>
      </c>
      <c r="G1047" s="364">
        <v>46097</v>
      </c>
      <c r="H1047" s="47" t="s">
        <v>7764</v>
      </c>
      <c r="I1047" s="47" t="s">
        <v>7765</v>
      </c>
      <c r="J1047" s="47" t="s">
        <v>396</v>
      </c>
    </row>
    <row r="1048" spans="2:10" ht="14.5">
      <c r="B1048" s="47" t="s">
        <v>347</v>
      </c>
      <c r="C1048" s="47" t="s">
        <v>7761</v>
      </c>
      <c r="D1048" s="47" t="s">
        <v>8957</v>
      </c>
      <c r="E1048" s="47" t="s">
        <v>345</v>
      </c>
      <c r="F1048" s="47" t="s">
        <v>7763</v>
      </c>
      <c r="G1048" s="364">
        <v>46105</v>
      </c>
      <c r="H1048" s="47" t="s">
        <v>7764</v>
      </c>
      <c r="I1048" s="47" t="s">
        <v>7765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8958</v>
      </c>
      <c r="E1049" s="47" t="s">
        <v>271</v>
      </c>
      <c r="F1049" s="47" t="s">
        <v>7763</v>
      </c>
      <c r="G1049" s="364">
        <v>46093</v>
      </c>
      <c r="H1049" s="47" t="s">
        <v>7764</v>
      </c>
      <c r="I1049" s="47" t="s">
        <v>7765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8959</v>
      </c>
      <c r="E1050" s="47" t="s">
        <v>276</v>
      </c>
      <c r="F1050" s="47" t="s">
        <v>7763</v>
      </c>
      <c r="G1050" s="364">
        <v>46093</v>
      </c>
      <c r="H1050" s="47" t="s">
        <v>7764</v>
      </c>
      <c r="I1050" s="47" t="s">
        <v>7765</v>
      </c>
      <c r="J1050" s="47" t="s">
        <v>276</v>
      </c>
    </row>
    <row r="1051" spans="2:10" ht="14.5">
      <c r="B1051" s="47" t="s">
        <v>8960</v>
      </c>
      <c r="C1051" s="47" t="s">
        <v>64</v>
      </c>
      <c r="D1051" s="47" t="s">
        <v>8961</v>
      </c>
      <c r="E1051" s="47" t="s">
        <v>250</v>
      </c>
      <c r="F1051" s="47" t="s">
        <v>7763</v>
      </c>
      <c r="G1051" s="364">
        <v>46092</v>
      </c>
      <c r="H1051" s="47" t="s">
        <v>7911</v>
      </c>
      <c r="I1051" s="47" t="s">
        <v>7765</v>
      </c>
      <c r="J1051" s="47" t="s">
        <v>250</v>
      </c>
    </row>
    <row r="1052" spans="2:10" ht="14.5">
      <c r="B1052" s="47" t="s">
        <v>673</v>
      </c>
      <c r="C1052" s="47" t="s">
        <v>7761</v>
      </c>
      <c r="D1052" s="47" t="s">
        <v>8962</v>
      </c>
      <c r="E1052" s="47" t="s">
        <v>669</v>
      </c>
      <c r="F1052" s="47" t="s">
        <v>7763</v>
      </c>
      <c r="G1052" s="364">
        <v>46085</v>
      </c>
      <c r="H1052" s="47" t="s">
        <v>7764</v>
      </c>
      <c r="I1052" s="47" t="s">
        <v>7765</v>
      </c>
      <c r="J1052" s="47" t="s">
        <v>669</v>
      </c>
    </row>
    <row r="1053" spans="2:10" ht="14.5">
      <c r="B1053" s="47" t="s">
        <v>8963</v>
      </c>
      <c r="C1053" s="47" t="s">
        <v>64</v>
      </c>
      <c r="D1053" s="47">
        <v>371009147</v>
      </c>
      <c r="E1053" s="47"/>
      <c r="F1053" s="47" t="s">
        <v>7810</v>
      </c>
      <c r="G1053" s="364">
        <v>46049</v>
      </c>
      <c r="H1053" s="47" t="s">
        <v>7764</v>
      </c>
      <c r="I1053" s="47" t="s">
        <v>7765</v>
      </c>
      <c r="J1053" s="47" t="s">
        <v>8964</v>
      </c>
    </row>
    <row r="1054" spans="2:10" ht="14.5">
      <c r="B1054" s="47" t="s">
        <v>233</v>
      </c>
      <c r="C1054" s="47" t="s">
        <v>64</v>
      </c>
      <c r="D1054" s="47" t="s">
        <v>8965</v>
      </c>
      <c r="E1054" s="47" t="s">
        <v>231</v>
      </c>
      <c r="F1054" s="47" t="s">
        <v>7763</v>
      </c>
      <c r="G1054" s="364">
        <v>46097</v>
      </c>
      <c r="H1054" s="47" t="s">
        <v>7764</v>
      </c>
      <c r="I1054" s="47" t="s">
        <v>7765</v>
      </c>
      <c r="J1054" s="47" t="s">
        <v>231</v>
      </c>
    </row>
    <row r="1055" spans="2:10" ht="14.5">
      <c r="B1055" s="47" t="s">
        <v>8966</v>
      </c>
      <c r="C1055" s="47" t="s">
        <v>64</v>
      </c>
      <c r="D1055" s="47" t="s">
        <v>8967</v>
      </c>
      <c r="E1055" s="47" t="s">
        <v>8968</v>
      </c>
      <c r="F1055" s="47" t="s">
        <v>7763</v>
      </c>
      <c r="G1055" s="364">
        <v>46059</v>
      </c>
      <c r="H1055" s="47" t="s">
        <v>7764</v>
      </c>
      <c r="I1055" s="47" t="s">
        <v>7765</v>
      </c>
      <c r="J1055" s="47" t="s">
        <v>8969</v>
      </c>
    </row>
    <row r="1056" spans="2:10" ht="14.5">
      <c r="B1056" s="47" t="s">
        <v>7073</v>
      </c>
      <c r="C1056" s="47" t="s">
        <v>64</v>
      </c>
      <c r="D1056" s="47" t="s">
        <v>8970</v>
      </c>
      <c r="E1056" s="47">
        <v>371009150</v>
      </c>
      <c r="F1056" s="47" t="s">
        <v>7810</v>
      </c>
      <c r="G1056" s="364">
        <v>46076</v>
      </c>
      <c r="H1056" s="47" t="s">
        <v>7764</v>
      </c>
      <c r="I1056" s="47" t="s">
        <v>7765</v>
      </c>
      <c r="J1056" s="47" t="s">
        <v>8971</v>
      </c>
    </row>
    <row r="1057" spans="2:10" ht="14.5">
      <c r="B1057" s="47" t="s">
        <v>7097</v>
      </c>
      <c r="C1057" s="47" t="s">
        <v>64</v>
      </c>
      <c r="D1057" s="47" t="s">
        <v>8972</v>
      </c>
      <c r="E1057" s="47">
        <v>371009149</v>
      </c>
      <c r="F1057" s="47" t="s">
        <v>7810</v>
      </c>
      <c r="G1057" s="364">
        <v>46076</v>
      </c>
      <c r="H1057" s="47" t="s">
        <v>7764</v>
      </c>
      <c r="I1057" s="47" t="s">
        <v>7765</v>
      </c>
      <c r="J1057" s="47" t="s">
        <v>8973</v>
      </c>
    </row>
    <row r="1058" spans="2:10" ht="14.5">
      <c r="B1058" s="47" t="s">
        <v>7085</v>
      </c>
      <c r="C1058" s="47" t="s">
        <v>64</v>
      </c>
      <c r="D1058" s="47" t="s">
        <v>8974</v>
      </c>
      <c r="E1058" s="47">
        <v>371009148</v>
      </c>
      <c r="F1058" s="47" t="s">
        <v>7810</v>
      </c>
      <c r="G1058" s="364">
        <v>46076</v>
      </c>
      <c r="H1058" s="47" t="s">
        <v>7764</v>
      </c>
      <c r="I1058" s="47" t="s">
        <v>7765</v>
      </c>
      <c r="J1058" s="47" t="s">
        <v>8975</v>
      </c>
    </row>
    <row r="1059" spans="2:10" ht="14.5">
      <c r="B1059" s="47" t="s">
        <v>332</v>
      </c>
      <c r="C1059" s="47" t="s">
        <v>64</v>
      </c>
      <c r="D1059" s="47" t="s">
        <v>8976</v>
      </c>
      <c r="E1059" s="47" t="s">
        <v>325</v>
      </c>
      <c r="F1059" s="47" t="s">
        <v>7763</v>
      </c>
      <c r="G1059" s="364">
        <v>46104</v>
      </c>
      <c r="H1059" s="47" t="s">
        <v>7764</v>
      </c>
      <c r="I1059" s="47" t="s">
        <v>7765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8977</v>
      </c>
      <c r="E1060" s="47" t="s">
        <v>226</v>
      </c>
      <c r="F1060" s="47" t="s">
        <v>7763</v>
      </c>
      <c r="G1060" s="364">
        <v>46097</v>
      </c>
      <c r="H1060" s="47" t="s">
        <v>7764</v>
      </c>
      <c r="I1060" s="47" t="s">
        <v>7765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8978</v>
      </c>
      <c r="E1061" s="47" t="s">
        <v>244</v>
      </c>
      <c r="F1061" s="47" t="s">
        <v>7763</v>
      </c>
      <c r="G1061" s="364">
        <v>46092</v>
      </c>
      <c r="H1061" s="47" t="s">
        <v>7764</v>
      </c>
      <c r="I1061" s="47" t="s">
        <v>7765</v>
      </c>
      <c r="J1061" s="47" t="s">
        <v>8979</v>
      </c>
    </row>
    <row r="1062" spans="2:10" ht="14.5">
      <c r="B1062" s="47" t="s">
        <v>261</v>
      </c>
      <c r="C1062" s="47" t="s">
        <v>64</v>
      </c>
      <c r="D1062" s="47" t="s">
        <v>8980</v>
      </c>
      <c r="E1062" s="47" t="s">
        <v>260</v>
      </c>
      <c r="F1062" s="47" t="s">
        <v>7763</v>
      </c>
      <c r="G1062" s="364">
        <v>46097</v>
      </c>
      <c r="H1062" s="47" t="s">
        <v>7764</v>
      </c>
      <c r="I1062" s="47" t="s">
        <v>7765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8981</v>
      </c>
      <c r="E1063" s="47" t="s">
        <v>235</v>
      </c>
      <c r="F1063" s="47" t="s">
        <v>7763</v>
      </c>
      <c r="G1063" s="364">
        <v>46086</v>
      </c>
      <c r="H1063" s="47" t="s">
        <v>7764</v>
      </c>
      <c r="I1063" s="47" t="s">
        <v>7765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8982</v>
      </c>
      <c r="E1064" s="47" t="s">
        <v>224</v>
      </c>
      <c r="F1064" s="47" t="s">
        <v>7763</v>
      </c>
      <c r="G1064" s="364">
        <v>46090</v>
      </c>
      <c r="H1064" s="47" t="s">
        <v>7764</v>
      </c>
      <c r="I1064" s="47" t="s">
        <v>7765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8983</v>
      </c>
      <c r="E1065" s="47" t="s">
        <v>214</v>
      </c>
      <c r="F1065" s="47" t="s">
        <v>7763</v>
      </c>
      <c r="G1065" s="364">
        <v>46090</v>
      </c>
      <c r="H1065" s="47" t="s">
        <v>7764</v>
      </c>
      <c r="I1065" s="47" t="s">
        <v>7765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8984</v>
      </c>
      <c r="E1066" s="47" t="s">
        <v>304</v>
      </c>
      <c r="F1066" s="47" t="s">
        <v>7763</v>
      </c>
      <c r="G1066" s="364">
        <v>46101</v>
      </c>
      <c r="H1066" s="47" t="s">
        <v>7764</v>
      </c>
      <c r="I1066" s="47" t="s">
        <v>7765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8985</v>
      </c>
      <c r="E1067" s="47" t="s">
        <v>209</v>
      </c>
      <c r="F1067" s="47" t="s">
        <v>7763</v>
      </c>
      <c r="G1067" s="364">
        <v>46101</v>
      </c>
      <c r="H1067" s="47" t="s">
        <v>7764</v>
      </c>
      <c r="I1067" s="47" t="s">
        <v>7765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8986</v>
      </c>
      <c r="E1068" s="47" t="s">
        <v>280</v>
      </c>
      <c r="F1068" s="47" t="s">
        <v>7763</v>
      </c>
      <c r="G1068" s="364">
        <v>46094</v>
      </c>
      <c r="H1068" s="47" t="s">
        <v>7764</v>
      </c>
      <c r="I1068" s="47" t="s">
        <v>7765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8987</v>
      </c>
      <c r="E1069" s="47" t="s">
        <v>295</v>
      </c>
      <c r="F1069" s="47" t="s">
        <v>7763</v>
      </c>
      <c r="G1069" s="364">
        <v>46101</v>
      </c>
      <c r="H1069" s="47" t="s">
        <v>7764</v>
      </c>
      <c r="I1069" s="47" t="s">
        <v>7765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8988</v>
      </c>
      <c r="E1070" s="47" t="s">
        <v>292</v>
      </c>
      <c r="F1070" s="47" t="s">
        <v>7763</v>
      </c>
      <c r="G1070" s="364">
        <v>46094</v>
      </c>
      <c r="H1070" s="47" t="s">
        <v>7764</v>
      </c>
      <c r="I1070" s="47" t="s">
        <v>7765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8989</v>
      </c>
      <c r="E1071" s="47" t="s">
        <v>336</v>
      </c>
      <c r="F1071" s="47" t="s">
        <v>7763</v>
      </c>
      <c r="G1071" s="364">
        <v>46107</v>
      </c>
      <c r="H1071" s="47" t="s">
        <v>7764</v>
      </c>
      <c r="I1071" s="47" t="s">
        <v>7765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8990</v>
      </c>
      <c r="E1072" s="47" t="s">
        <v>341</v>
      </c>
      <c r="F1072" s="47" t="s">
        <v>7763</v>
      </c>
      <c r="G1072" s="364">
        <v>46107</v>
      </c>
      <c r="H1072" s="47" t="s">
        <v>7764</v>
      </c>
      <c r="I1072" s="47" t="s">
        <v>7765</v>
      </c>
      <c r="J1072" s="47" t="s">
        <v>341</v>
      </c>
    </row>
    <row r="1073" spans="2:10" ht="14.5">
      <c r="B1073" s="47" t="s">
        <v>596</v>
      </c>
      <c r="C1073" s="47" t="s">
        <v>7761</v>
      </c>
      <c r="D1073" s="47" t="s">
        <v>8991</v>
      </c>
      <c r="E1073" s="47" t="s">
        <v>592</v>
      </c>
      <c r="F1073" s="47" t="s">
        <v>7763</v>
      </c>
      <c r="G1073" s="364">
        <v>46114</v>
      </c>
      <c r="H1073" s="47" t="s">
        <v>7764</v>
      </c>
      <c r="I1073" s="47" t="s">
        <v>7765</v>
      </c>
      <c r="J1073" s="47" t="s">
        <v>592</v>
      </c>
    </row>
    <row r="1074" spans="2:10" ht="14.5">
      <c r="B1074" s="47" t="s">
        <v>572</v>
      </c>
      <c r="C1074" s="47" t="s">
        <v>7761</v>
      </c>
      <c r="D1074" s="47" t="s">
        <v>8992</v>
      </c>
      <c r="E1074" s="47"/>
      <c r="F1074" s="47" t="s">
        <v>7763</v>
      </c>
      <c r="G1074" s="364">
        <v>46118</v>
      </c>
      <c r="H1074" s="47" t="s">
        <v>7764</v>
      </c>
      <c r="I1074" s="47" t="s">
        <v>7765</v>
      </c>
      <c r="J1074" s="47" t="s">
        <v>568</v>
      </c>
    </row>
    <row r="1075" spans="2:10" ht="14.5">
      <c r="B1075" s="47" t="s">
        <v>567</v>
      </c>
      <c r="C1075" s="47" t="s">
        <v>7761</v>
      </c>
      <c r="D1075" s="47" t="s">
        <v>8993</v>
      </c>
      <c r="E1075" s="47"/>
      <c r="F1075" s="47" t="s">
        <v>7763</v>
      </c>
      <c r="G1075" s="364">
        <v>46118</v>
      </c>
      <c r="H1075" s="47" t="s">
        <v>7764</v>
      </c>
      <c r="I1075" s="47" t="s">
        <v>7765</v>
      </c>
      <c r="J1075" s="47" t="s">
        <v>565</v>
      </c>
    </row>
    <row r="1076" spans="2:10" ht="14.5">
      <c r="B1076" s="47" t="s">
        <v>561</v>
      </c>
      <c r="C1076" s="47" t="s">
        <v>7761</v>
      </c>
      <c r="D1076" s="47" t="s">
        <v>8994</v>
      </c>
      <c r="E1076" s="47"/>
      <c r="F1076" s="47" t="s">
        <v>7763</v>
      </c>
      <c r="G1076" s="364">
        <v>46118</v>
      </c>
      <c r="H1076" s="47" t="s">
        <v>7764</v>
      </c>
      <c r="I1076" s="47" t="s">
        <v>7765</v>
      </c>
      <c r="J1076" s="47" t="s">
        <v>557</v>
      </c>
    </row>
    <row r="1077" spans="2:10" ht="14.5">
      <c r="B1077" s="47" t="s">
        <v>575</v>
      </c>
      <c r="C1077" s="47" t="s">
        <v>7761</v>
      </c>
      <c r="D1077" s="47" t="s">
        <v>8995</v>
      </c>
      <c r="E1077" s="47"/>
      <c r="F1077" s="47" t="s">
        <v>7763</v>
      </c>
      <c r="G1077" s="364">
        <v>46118</v>
      </c>
      <c r="H1077" s="47" t="s">
        <v>7764</v>
      </c>
      <c r="I1077" s="47" t="s">
        <v>7765</v>
      </c>
      <c r="J1077" s="47" t="s">
        <v>573</v>
      </c>
    </row>
    <row r="1078" spans="2:10" ht="14.5">
      <c r="B1078" s="47" t="s">
        <v>546</v>
      </c>
      <c r="C1078" s="47" t="s">
        <v>7761</v>
      </c>
      <c r="D1078" s="47" t="s">
        <v>8996</v>
      </c>
      <c r="E1078" s="47"/>
      <c r="F1078" s="47" t="s">
        <v>7763</v>
      </c>
      <c r="G1078" s="364">
        <v>46104</v>
      </c>
      <c r="H1078" s="47" t="s">
        <v>7764</v>
      </c>
      <c r="I1078" s="47" t="s">
        <v>7765</v>
      </c>
      <c r="J1078" s="47" t="s">
        <v>545</v>
      </c>
    </row>
    <row r="1079" spans="2:10" ht="14.5">
      <c r="B1079" s="47" t="s">
        <v>556</v>
      </c>
      <c r="C1079" s="47" t="s">
        <v>7761</v>
      </c>
      <c r="D1079" s="47" t="s">
        <v>8997</v>
      </c>
      <c r="E1079" s="47"/>
      <c r="F1079" s="47" t="s">
        <v>7763</v>
      </c>
      <c r="G1079" s="364">
        <v>46104</v>
      </c>
      <c r="H1079" s="47" t="s">
        <v>7764</v>
      </c>
      <c r="I1079" s="47" t="s">
        <v>7765</v>
      </c>
      <c r="J1079" s="47" t="s">
        <v>555</v>
      </c>
    </row>
    <row r="1080" spans="2:10" ht="14.5">
      <c r="B1080" s="47" t="s">
        <v>540</v>
      </c>
      <c r="C1080" s="47" t="s">
        <v>7761</v>
      </c>
      <c r="D1080" s="47" t="s">
        <v>8998</v>
      </c>
      <c r="E1080" s="47"/>
      <c r="F1080" s="47" t="s">
        <v>7763</v>
      </c>
      <c r="G1080" s="364">
        <v>46104</v>
      </c>
      <c r="H1080" s="47" t="s">
        <v>7764</v>
      </c>
      <c r="I1080" s="47" t="s">
        <v>7765</v>
      </c>
      <c r="J1080" s="47" t="s">
        <v>537</v>
      </c>
    </row>
    <row r="1081" spans="2:10" ht="14.5">
      <c r="B1081" s="47" t="s">
        <v>407</v>
      </c>
      <c r="C1081" s="47" t="s">
        <v>7761</v>
      </c>
      <c r="D1081" s="47" t="s">
        <v>8999</v>
      </c>
      <c r="E1081" s="47"/>
      <c r="F1081" s="47" t="s">
        <v>7763</v>
      </c>
      <c r="G1081" s="364">
        <v>46086</v>
      </c>
      <c r="H1081" s="47" t="s">
        <v>7764</v>
      </c>
      <c r="I1081" s="47" t="s">
        <v>7765</v>
      </c>
      <c r="J1081" s="47" t="s">
        <v>400</v>
      </c>
    </row>
    <row r="1082" spans="2:10" ht="14.5">
      <c r="B1082" s="47" t="s">
        <v>554</v>
      </c>
      <c r="C1082" s="47" t="s">
        <v>7761</v>
      </c>
      <c r="D1082" s="47" t="s">
        <v>9000</v>
      </c>
      <c r="E1082" s="47"/>
      <c r="F1082" s="47" t="s">
        <v>7763</v>
      </c>
      <c r="G1082" s="364">
        <v>46104</v>
      </c>
      <c r="H1082" s="47" t="s">
        <v>7764</v>
      </c>
      <c r="I1082" s="47" t="s">
        <v>7765</v>
      </c>
      <c r="J1082" s="47" t="s">
        <v>547</v>
      </c>
    </row>
    <row r="1083" spans="2:10" ht="14.5">
      <c r="B1083" s="47" t="s">
        <v>3638</v>
      </c>
      <c r="C1083" s="47" t="s">
        <v>64</v>
      </c>
      <c r="D1083" s="47">
        <v>371009042</v>
      </c>
      <c r="E1083" s="47"/>
      <c r="F1083" s="47" t="s">
        <v>7763</v>
      </c>
      <c r="G1083" s="364">
        <v>46050</v>
      </c>
      <c r="H1083" s="47" t="s">
        <v>7764</v>
      </c>
      <c r="I1083" s="47" t="s">
        <v>7765</v>
      </c>
      <c r="J1083" s="47" t="s">
        <v>9001</v>
      </c>
    </row>
    <row r="1084" spans="2:10" ht="14.5">
      <c r="B1084" s="47" t="s">
        <v>4011</v>
      </c>
      <c r="C1084" s="47" t="s">
        <v>64</v>
      </c>
      <c r="D1084" s="47" t="s">
        <v>9002</v>
      </c>
      <c r="E1084" s="47"/>
      <c r="F1084" s="47" t="s">
        <v>7763</v>
      </c>
      <c r="G1084" s="364">
        <v>46078</v>
      </c>
      <c r="H1084" s="47" t="s">
        <v>7764</v>
      </c>
      <c r="I1084" s="47" t="s">
        <v>7765</v>
      </c>
      <c r="J1084" s="47" t="s">
        <v>4010</v>
      </c>
    </row>
    <row r="1085" spans="2:10" ht="14.5">
      <c r="B1085" s="47" t="s">
        <v>9003</v>
      </c>
      <c r="C1085" s="47" t="s">
        <v>64</v>
      </c>
      <c r="D1085" s="47" t="s">
        <v>9004</v>
      </c>
      <c r="E1085" s="47"/>
      <c r="F1085" s="47" t="s">
        <v>7763</v>
      </c>
      <c r="G1085" s="364">
        <v>46094</v>
      </c>
      <c r="H1085" s="47" t="s">
        <v>7911</v>
      </c>
      <c r="I1085" s="47" t="s">
        <v>7765</v>
      </c>
      <c r="J1085" s="47" t="s">
        <v>98</v>
      </c>
    </row>
    <row r="1086" spans="2:10" ht="14.5">
      <c r="B1086" s="47" t="s">
        <v>9005</v>
      </c>
      <c r="C1086" s="47" t="s">
        <v>64</v>
      </c>
      <c r="D1086" s="47" t="s">
        <v>9006</v>
      </c>
      <c r="E1086" s="47"/>
      <c r="F1086" s="47" t="s">
        <v>7763</v>
      </c>
      <c r="G1086" s="364">
        <v>46092</v>
      </c>
      <c r="H1086" s="47" t="s">
        <v>7911</v>
      </c>
      <c r="I1086" s="47" t="s">
        <v>7765</v>
      </c>
      <c r="J1086" s="47" t="s">
        <v>163</v>
      </c>
    </row>
    <row r="1087" spans="2:10" ht="14.5">
      <c r="B1087" s="47" t="s">
        <v>3849</v>
      </c>
      <c r="C1087" s="47" t="s">
        <v>64</v>
      </c>
      <c r="D1087" s="47">
        <v>371009123</v>
      </c>
      <c r="E1087" s="47"/>
      <c r="F1087" s="47" t="s">
        <v>7763</v>
      </c>
      <c r="G1087" s="364">
        <v>46037</v>
      </c>
      <c r="H1087" s="47" t="s">
        <v>7764</v>
      </c>
      <c r="I1087" s="47" t="s">
        <v>7765</v>
      </c>
      <c r="J1087" s="47" t="s">
        <v>9007</v>
      </c>
    </row>
    <row r="1088" spans="2:10" ht="14.5">
      <c r="B1088" s="47" t="s">
        <v>9008</v>
      </c>
      <c r="C1088" s="47" t="s">
        <v>64</v>
      </c>
      <c r="D1088" s="47"/>
      <c r="E1088" s="47"/>
      <c r="F1088" s="47" t="s">
        <v>7763</v>
      </c>
      <c r="G1088" s="364">
        <v>46037</v>
      </c>
      <c r="H1088" s="47" t="s">
        <v>7911</v>
      </c>
      <c r="I1088" s="47" t="s">
        <v>7765</v>
      </c>
      <c r="J1088" s="47" t="s">
        <v>9009</v>
      </c>
    </row>
    <row r="1089" spans="2:10" ht="14.5">
      <c r="B1089" s="47" t="s">
        <v>4295</v>
      </c>
      <c r="C1089" s="47" t="s">
        <v>64</v>
      </c>
      <c r="D1089" s="47" t="s">
        <v>9010</v>
      </c>
      <c r="E1089" s="47"/>
      <c r="F1089" s="47" t="s">
        <v>7763</v>
      </c>
      <c r="G1089" s="364">
        <v>46078</v>
      </c>
      <c r="H1089" s="47" t="s">
        <v>7764</v>
      </c>
      <c r="I1089" s="47" t="s">
        <v>7765</v>
      </c>
      <c r="J1089" s="47" t="s">
        <v>4294</v>
      </c>
    </row>
    <row r="1090" spans="2:10" ht="14.5">
      <c r="B1090" s="47" t="s">
        <v>4322</v>
      </c>
      <c r="C1090" s="47" t="s">
        <v>64</v>
      </c>
      <c r="D1090" s="47" t="s">
        <v>9011</v>
      </c>
      <c r="E1090" s="47"/>
      <c r="F1090" s="47" t="s">
        <v>7763</v>
      </c>
      <c r="G1090" s="364">
        <v>46091</v>
      </c>
      <c r="H1090" s="47" t="s">
        <v>7764</v>
      </c>
      <c r="I1090" s="47" t="s">
        <v>7765</v>
      </c>
      <c r="J1090" s="47" t="s">
        <v>4321</v>
      </c>
    </row>
    <row r="1091" spans="2:10" ht="14.5">
      <c r="B1091" s="47" t="s">
        <v>4317</v>
      </c>
      <c r="C1091" s="47" t="s">
        <v>64</v>
      </c>
      <c r="D1091" s="47" t="s">
        <v>9012</v>
      </c>
      <c r="E1091" s="47"/>
      <c r="F1091" s="47" t="s">
        <v>7763</v>
      </c>
      <c r="G1091" s="364">
        <v>46091</v>
      </c>
      <c r="H1091" s="47" t="s">
        <v>7764</v>
      </c>
      <c r="I1091" s="47" t="s">
        <v>7765</v>
      </c>
      <c r="J1091" s="47" t="s">
        <v>4316</v>
      </c>
    </row>
    <row r="1092" spans="2:10" ht="14.5">
      <c r="B1092" s="47" t="s">
        <v>4345</v>
      </c>
      <c r="C1092" s="47" t="s">
        <v>64</v>
      </c>
      <c r="D1092" s="47" t="s">
        <v>9013</v>
      </c>
      <c r="E1092" s="47"/>
      <c r="F1092" s="47" t="s">
        <v>7763</v>
      </c>
      <c r="G1092" s="364">
        <v>46071</v>
      </c>
      <c r="H1092" s="47" t="s">
        <v>7764</v>
      </c>
      <c r="I1092" s="47" t="s">
        <v>7765</v>
      </c>
      <c r="J1092" s="47" t="s">
        <v>4344</v>
      </c>
    </row>
    <row r="1093" spans="2:10" ht="14.5">
      <c r="B1093" s="47" t="s">
        <v>4324</v>
      </c>
      <c r="C1093" s="47" t="s">
        <v>64</v>
      </c>
      <c r="D1093" s="47" t="s">
        <v>9014</v>
      </c>
      <c r="E1093" s="47"/>
      <c r="F1093" s="47" t="s">
        <v>7763</v>
      </c>
      <c r="G1093" s="364">
        <v>46071</v>
      </c>
      <c r="H1093" s="47" t="s">
        <v>7764</v>
      </c>
      <c r="I1093" s="47" t="s">
        <v>7765</v>
      </c>
      <c r="J1093" s="47" t="s">
        <v>4323</v>
      </c>
    </row>
    <row r="1094" spans="2:10" ht="14.5">
      <c r="B1094" s="47" t="s">
        <v>4371</v>
      </c>
      <c r="C1094" s="47" t="s">
        <v>64</v>
      </c>
      <c r="D1094" s="47" t="s">
        <v>9015</v>
      </c>
      <c r="E1094" s="47"/>
      <c r="F1094" s="47" t="s">
        <v>7763</v>
      </c>
      <c r="G1094" s="364">
        <v>46078</v>
      </c>
      <c r="H1094" s="47" t="s">
        <v>7764</v>
      </c>
      <c r="I1094" s="47" t="s">
        <v>7765</v>
      </c>
      <c r="J1094" s="47" t="s">
        <v>4370</v>
      </c>
    </row>
    <row r="1095" spans="2:10" ht="14.5">
      <c r="B1095" s="47" t="s">
        <v>4301</v>
      </c>
      <c r="C1095" s="47" t="s">
        <v>64</v>
      </c>
      <c r="D1095" s="47" t="s">
        <v>9016</v>
      </c>
      <c r="E1095" s="47"/>
      <c r="F1095" s="47" t="s">
        <v>7763</v>
      </c>
      <c r="G1095" s="364">
        <v>46080</v>
      </c>
      <c r="H1095" s="47" t="s">
        <v>7764</v>
      </c>
      <c r="I1095" s="47" t="s">
        <v>7765</v>
      </c>
      <c r="J1095" s="47" t="s">
        <v>4300</v>
      </c>
    </row>
    <row r="1096" spans="2:10" ht="14.5">
      <c r="B1096" s="47" t="s">
        <v>4310</v>
      </c>
      <c r="C1096" s="47" t="s">
        <v>64</v>
      </c>
      <c r="D1096" s="47" t="s">
        <v>9017</v>
      </c>
      <c r="E1096" s="47"/>
      <c r="F1096" s="47" t="s">
        <v>7763</v>
      </c>
      <c r="G1096" s="364">
        <v>46076</v>
      </c>
      <c r="H1096" s="47" t="s">
        <v>7764</v>
      </c>
      <c r="I1096" s="47" t="s">
        <v>7765</v>
      </c>
      <c r="J1096" s="47" t="s">
        <v>4309</v>
      </c>
    </row>
    <row r="1097" spans="2:10" ht="14.5">
      <c r="B1097" s="47" t="s">
        <v>4306</v>
      </c>
      <c r="C1097" s="47" t="s">
        <v>64</v>
      </c>
      <c r="D1097" s="47" t="s">
        <v>9018</v>
      </c>
      <c r="E1097" s="47"/>
      <c r="F1097" s="47" t="s">
        <v>7763</v>
      </c>
      <c r="G1097" s="364">
        <v>46076</v>
      </c>
      <c r="H1097" s="47" t="s">
        <v>7764</v>
      </c>
      <c r="I1097" s="47" t="s">
        <v>7765</v>
      </c>
      <c r="J1097" s="47" t="s">
        <v>4305</v>
      </c>
    </row>
    <row r="1098" spans="2:10" ht="14.5">
      <c r="B1098" s="47" t="s">
        <v>4362</v>
      </c>
      <c r="C1098" s="47" t="s">
        <v>64</v>
      </c>
      <c r="D1098" s="47" t="s">
        <v>9019</v>
      </c>
      <c r="E1098" s="47"/>
      <c r="F1098" s="47" t="s">
        <v>7763</v>
      </c>
      <c r="G1098" s="364">
        <v>46078</v>
      </c>
      <c r="H1098" s="47" t="s">
        <v>7764</v>
      </c>
      <c r="I1098" s="47" t="s">
        <v>7765</v>
      </c>
      <c r="J1098" s="47" t="s">
        <v>4361</v>
      </c>
    </row>
    <row r="1099" spans="2:10" ht="14.5">
      <c r="B1099" s="47" t="s">
        <v>4367</v>
      </c>
      <c r="C1099" s="47" t="s">
        <v>64</v>
      </c>
      <c r="D1099" s="47" t="s">
        <v>9020</v>
      </c>
      <c r="E1099" s="47"/>
      <c r="F1099" s="47" t="s">
        <v>7763</v>
      </c>
      <c r="G1099" s="364">
        <v>46078</v>
      </c>
      <c r="H1099" s="47" t="s">
        <v>7764</v>
      </c>
      <c r="I1099" s="47" t="s">
        <v>7765</v>
      </c>
      <c r="J1099" s="47" t="s">
        <v>4366</v>
      </c>
    </row>
    <row r="1100" spans="2:10" ht="14.5">
      <c r="B1100" s="47" t="s">
        <v>4312</v>
      </c>
      <c r="C1100" s="47" t="s">
        <v>64</v>
      </c>
      <c r="D1100" s="47" t="s">
        <v>9021</v>
      </c>
      <c r="E1100" s="47"/>
      <c r="F1100" s="47" t="s">
        <v>7763</v>
      </c>
      <c r="G1100" s="364">
        <v>46073</v>
      </c>
      <c r="H1100" s="47" t="s">
        <v>7764</v>
      </c>
      <c r="I1100" s="47" t="s">
        <v>7765</v>
      </c>
      <c r="J1100" s="47" t="s">
        <v>4311</v>
      </c>
    </row>
    <row r="1101" spans="2:10" ht="14.5">
      <c r="B1101" s="47" t="s">
        <v>4360</v>
      </c>
      <c r="C1101" s="47" t="s">
        <v>64</v>
      </c>
      <c r="D1101" s="47" t="s">
        <v>9022</v>
      </c>
      <c r="E1101" s="47"/>
      <c r="F1101" s="47" t="s">
        <v>7763</v>
      </c>
      <c r="G1101" s="364">
        <v>46090</v>
      </c>
      <c r="H1101" s="47" t="s">
        <v>7764</v>
      </c>
      <c r="I1101" s="47" t="s">
        <v>7765</v>
      </c>
      <c r="J1101" s="47" t="s">
        <v>4359</v>
      </c>
    </row>
    <row r="1102" spans="2:10" ht="14.5">
      <c r="B1102" s="47" t="s">
        <v>4358</v>
      </c>
      <c r="C1102" s="47" t="s">
        <v>64</v>
      </c>
      <c r="D1102" s="47" t="s">
        <v>9023</v>
      </c>
      <c r="E1102" s="47"/>
      <c r="F1102" s="47" t="s">
        <v>7763</v>
      </c>
      <c r="G1102" s="364">
        <v>46090</v>
      </c>
      <c r="H1102" s="47" t="s">
        <v>7764</v>
      </c>
      <c r="I1102" s="47" t="s">
        <v>7765</v>
      </c>
      <c r="J1102" s="47" t="s">
        <v>4357</v>
      </c>
    </row>
    <row r="1103" spans="2:10" ht="14.5">
      <c r="B1103" s="47" t="s">
        <v>178</v>
      </c>
      <c r="C1103" s="47" t="s">
        <v>64</v>
      </c>
      <c r="D1103" s="47" t="s">
        <v>9024</v>
      </c>
      <c r="E1103" s="47"/>
      <c r="F1103" s="47" t="s">
        <v>7763</v>
      </c>
      <c r="G1103" s="364">
        <v>46100</v>
      </c>
      <c r="H1103" s="47" t="s">
        <v>7764</v>
      </c>
      <c r="I1103" s="47" t="s">
        <v>7765</v>
      </c>
      <c r="J1103" s="47" t="s">
        <v>177</v>
      </c>
    </row>
    <row r="1104" spans="2:10" ht="14.5">
      <c r="B1104" s="47" t="s">
        <v>4397</v>
      </c>
      <c r="C1104" s="47" t="s">
        <v>64</v>
      </c>
      <c r="D1104" s="47" t="s">
        <v>9025</v>
      </c>
      <c r="E1104" s="47"/>
      <c r="F1104" s="47" t="s">
        <v>7763</v>
      </c>
      <c r="G1104" s="364">
        <v>46090</v>
      </c>
      <c r="H1104" s="47" t="s">
        <v>7764</v>
      </c>
      <c r="I1104" s="47" t="s">
        <v>7765</v>
      </c>
      <c r="J1104" s="47" t="s">
        <v>4396</v>
      </c>
    </row>
    <row r="1105" spans="2:10" ht="14.5">
      <c r="B1105" s="47" t="s">
        <v>4375</v>
      </c>
      <c r="C1105" s="47" t="s">
        <v>64</v>
      </c>
      <c r="D1105" s="47" t="s">
        <v>9026</v>
      </c>
      <c r="E1105" s="47"/>
      <c r="F1105" s="47" t="s">
        <v>7763</v>
      </c>
      <c r="G1105" s="364">
        <v>46085</v>
      </c>
      <c r="H1105" s="47" t="s">
        <v>7764</v>
      </c>
      <c r="I1105" s="47" t="s">
        <v>7765</v>
      </c>
      <c r="J1105" s="47" t="s">
        <v>4374</v>
      </c>
    </row>
    <row r="1106" spans="2:10" ht="14.5">
      <c r="B1106" s="47" t="s">
        <v>4392</v>
      </c>
      <c r="C1106" s="47" t="s">
        <v>64</v>
      </c>
      <c r="D1106" s="47" t="s">
        <v>9027</v>
      </c>
      <c r="E1106" s="47"/>
      <c r="F1106" s="47" t="s">
        <v>7763</v>
      </c>
      <c r="G1106" s="364">
        <v>46090</v>
      </c>
      <c r="H1106" s="47" t="s">
        <v>7764</v>
      </c>
      <c r="I1106" s="47" t="s">
        <v>7765</v>
      </c>
      <c r="J1106" s="47" t="s">
        <v>4391</v>
      </c>
    </row>
    <row r="1107" spans="2:10" ht="14.5">
      <c r="B1107" s="47" t="s">
        <v>9028</v>
      </c>
      <c r="C1107" s="47" t="s">
        <v>64</v>
      </c>
      <c r="D1107" s="47" t="s">
        <v>9029</v>
      </c>
      <c r="E1107" s="47"/>
      <c r="F1107" s="47" t="s">
        <v>7763</v>
      </c>
      <c r="G1107" s="364">
        <v>46090</v>
      </c>
      <c r="H1107" s="47" t="s">
        <v>7911</v>
      </c>
      <c r="I1107" s="47" t="s">
        <v>7765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9030</v>
      </c>
      <c r="E1108" s="47"/>
      <c r="F1108" s="47" t="s">
        <v>7763</v>
      </c>
      <c r="G1108" s="364">
        <v>46104</v>
      </c>
      <c r="H1108" s="47" t="s">
        <v>7764</v>
      </c>
      <c r="I1108" s="47" t="s">
        <v>7765</v>
      </c>
      <c r="J1108" s="47" t="s">
        <v>110</v>
      </c>
    </row>
    <row r="1109" spans="2:10" ht="14.5">
      <c r="B1109" s="47" t="s">
        <v>4353</v>
      </c>
      <c r="C1109" s="47" t="s">
        <v>64</v>
      </c>
      <c r="D1109" s="47" t="s">
        <v>9031</v>
      </c>
      <c r="E1109" s="47"/>
      <c r="F1109" s="47" t="s">
        <v>7763</v>
      </c>
      <c r="G1109" s="364">
        <v>46090</v>
      </c>
      <c r="H1109" s="47" t="s">
        <v>7764</v>
      </c>
      <c r="I1109" s="47" t="s">
        <v>7765</v>
      </c>
      <c r="J1109" s="47" t="s">
        <v>4352</v>
      </c>
    </row>
    <row r="1110" spans="2:10" ht="14.5">
      <c r="B1110" s="47" t="s">
        <v>9032</v>
      </c>
      <c r="C1110" s="47" t="s">
        <v>64</v>
      </c>
      <c r="D1110" s="47" t="s">
        <v>9033</v>
      </c>
      <c r="E1110" s="47"/>
      <c r="F1110" s="47" t="s">
        <v>7763</v>
      </c>
      <c r="G1110" s="364">
        <v>46090</v>
      </c>
      <c r="H1110" s="47" t="s">
        <v>7911</v>
      </c>
      <c r="I1110" s="47" t="s">
        <v>7765</v>
      </c>
      <c r="J1110" s="47" t="s">
        <v>181</v>
      </c>
    </row>
    <row r="1111" spans="2:10" ht="14.5">
      <c r="B1111" s="47" t="s">
        <v>8831</v>
      </c>
      <c r="C1111" s="47" t="s">
        <v>64</v>
      </c>
      <c r="D1111" s="47" t="s">
        <v>9034</v>
      </c>
      <c r="E1111" s="47"/>
      <c r="F1111" s="47" t="s">
        <v>7763</v>
      </c>
      <c r="G1111" s="364">
        <v>46092</v>
      </c>
      <c r="H1111" s="47" t="s">
        <v>7911</v>
      </c>
      <c r="I1111" s="47" t="s">
        <v>7765</v>
      </c>
      <c r="J1111" s="47" t="s">
        <v>138</v>
      </c>
    </row>
    <row r="1112" spans="2:10" ht="14.5">
      <c r="B1112" s="47" t="s">
        <v>9035</v>
      </c>
      <c r="C1112" s="47" t="s">
        <v>64</v>
      </c>
      <c r="D1112" s="47" t="s">
        <v>9036</v>
      </c>
      <c r="E1112" s="47"/>
      <c r="F1112" s="47" t="s">
        <v>7763</v>
      </c>
      <c r="G1112" s="364">
        <v>46090</v>
      </c>
      <c r="H1112" s="47" t="s">
        <v>7911</v>
      </c>
      <c r="I1112" s="47" t="s">
        <v>7765</v>
      </c>
      <c r="J1112" s="47" t="s">
        <v>186</v>
      </c>
    </row>
    <row r="1113" spans="2:10" ht="14.5">
      <c r="B1113" s="47" t="s">
        <v>8838</v>
      </c>
      <c r="C1113" s="47" t="s">
        <v>64</v>
      </c>
      <c r="D1113" s="47" t="s">
        <v>9037</v>
      </c>
      <c r="E1113" s="47"/>
      <c r="F1113" s="47" t="s">
        <v>7763</v>
      </c>
      <c r="G1113" s="364">
        <v>46104</v>
      </c>
      <c r="H1113" s="47" t="s">
        <v>7911</v>
      </c>
      <c r="I1113" s="47" t="s">
        <v>7765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9038</v>
      </c>
      <c r="E1114" s="47"/>
      <c r="F1114" s="47" t="s">
        <v>7763</v>
      </c>
      <c r="G1114" s="364">
        <v>46097</v>
      </c>
      <c r="H1114" s="47" t="s">
        <v>7764</v>
      </c>
      <c r="I1114" s="47" t="s">
        <v>7765</v>
      </c>
      <c r="J1114" s="47" t="s">
        <v>192</v>
      </c>
    </row>
    <row r="1115" spans="2:10" ht="14.5">
      <c r="B1115" s="47" t="s">
        <v>4334</v>
      </c>
      <c r="C1115" s="47" t="s">
        <v>64</v>
      </c>
      <c r="D1115" s="47" t="s">
        <v>9039</v>
      </c>
      <c r="E1115" s="47"/>
      <c r="F1115" s="47" t="s">
        <v>7763</v>
      </c>
      <c r="G1115" s="364">
        <v>46097</v>
      </c>
      <c r="H1115" s="47" t="s">
        <v>7764</v>
      </c>
      <c r="I1115" s="47" t="s">
        <v>7765</v>
      </c>
      <c r="J1115" s="47" t="s">
        <v>4333</v>
      </c>
    </row>
    <row r="1116" spans="2:10" ht="14.5">
      <c r="B1116" s="47" t="s">
        <v>4399</v>
      </c>
      <c r="C1116" s="47" t="s">
        <v>64</v>
      </c>
      <c r="D1116" s="47" t="s">
        <v>9040</v>
      </c>
      <c r="E1116" s="47"/>
      <c r="F1116" s="47" t="s">
        <v>7763</v>
      </c>
      <c r="G1116" s="364">
        <v>46083</v>
      </c>
      <c r="H1116" s="47" t="s">
        <v>7764</v>
      </c>
      <c r="I1116" s="47" t="s">
        <v>7765</v>
      </c>
      <c r="J1116" s="47" t="s">
        <v>4398</v>
      </c>
    </row>
    <row r="1117" spans="2:10" ht="14.5">
      <c r="B1117" s="47" t="s">
        <v>4341</v>
      </c>
      <c r="C1117" s="47" t="s">
        <v>64</v>
      </c>
      <c r="D1117" s="47" t="s">
        <v>9041</v>
      </c>
      <c r="E1117" s="47"/>
      <c r="F1117" s="47" t="s">
        <v>7763</v>
      </c>
      <c r="G1117" s="364">
        <v>46100</v>
      </c>
      <c r="H1117" s="47" t="s">
        <v>7764</v>
      </c>
      <c r="I1117" s="47" t="s">
        <v>7765</v>
      </c>
      <c r="J1117" s="47" t="s">
        <v>4340</v>
      </c>
    </row>
    <row r="1118" spans="2:10" ht="14.5">
      <c r="B1118" s="47" t="s">
        <v>4339</v>
      </c>
      <c r="C1118" s="47" t="s">
        <v>64</v>
      </c>
      <c r="D1118" s="47" t="s">
        <v>9042</v>
      </c>
      <c r="E1118" s="47"/>
      <c r="F1118" s="47" t="s">
        <v>7763</v>
      </c>
      <c r="G1118" s="364">
        <v>46100</v>
      </c>
      <c r="H1118" s="47" t="s">
        <v>7764</v>
      </c>
      <c r="I1118" s="47" t="s">
        <v>7765</v>
      </c>
      <c r="J1118" s="47" t="s">
        <v>4338</v>
      </c>
    </row>
    <row r="1119" spans="2:10" ht="14.5">
      <c r="B1119" s="47" t="s">
        <v>4343</v>
      </c>
      <c r="C1119" s="47" t="s">
        <v>64</v>
      </c>
      <c r="D1119" s="47" t="s">
        <v>9043</v>
      </c>
      <c r="E1119" s="47"/>
      <c r="F1119" s="47" t="s">
        <v>7763</v>
      </c>
      <c r="G1119" s="364">
        <v>46100</v>
      </c>
      <c r="H1119" s="47" t="s">
        <v>7764</v>
      </c>
      <c r="I1119" s="47" t="s">
        <v>7765</v>
      </c>
      <c r="J1119" s="47" t="s">
        <v>4342</v>
      </c>
    </row>
    <row r="1120" spans="2:10" ht="14.5">
      <c r="B1120" s="47" t="s">
        <v>9044</v>
      </c>
      <c r="C1120" s="47" t="s">
        <v>64</v>
      </c>
      <c r="D1120" s="47" t="s">
        <v>9045</v>
      </c>
      <c r="E1120" s="47"/>
      <c r="F1120" s="47" t="s">
        <v>7763</v>
      </c>
      <c r="G1120" s="364">
        <v>46090</v>
      </c>
      <c r="H1120" s="47" t="s">
        <v>7911</v>
      </c>
      <c r="I1120" s="47" t="s">
        <v>7765</v>
      </c>
      <c r="J1120" s="47" t="s">
        <v>202</v>
      </c>
    </row>
    <row r="1121" spans="2:10" ht="14.5">
      <c r="B1121" s="47" t="s">
        <v>4299</v>
      </c>
      <c r="C1121" s="47" t="s">
        <v>64</v>
      </c>
      <c r="D1121" s="47" t="s">
        <v>9046</v>
      </c>
      <c r="E1121" s="47"/>
      <c r="F1121" s="47" t="s">
        <v>7763</v>
      </c>
      <c r="G1121" s="364">
        <v>46078</v>
      </c>
      <c r="H1121" s="47" t="s">
        <v>7764</v>
      </c>
      <c r="I1121" s="47" t="s">
        <v>7765</v>
      </c>
      <c r="J1121" s="47" t="s">
        <v>4298</v>
      </c>
    </row>
    <row r="1122" spans="2:10" ht="14.5">
      <c r="B1122" s="47" t="s">
        <v>3892</v>
      </c>
      <c r="C1122" s="47" t="s">
        <v>64</v>
      </c>
      <c r="D1122" s="47" t="s">
        <v>9047</v>
      </c>
      <c r="E1122" s="47"/>
      <c r="F1122" s="47" t="s">
        <v>7763</v>
      </c>
      <c r="G1122" s="364">
        <v>46049</v>
      </c>
      <c r="H1122" s="47" t="s">
        <v>7764</v>
      </c>
      <c r="I1122" s="47" t="s">
        <v>7765</v>
      </c>
      <c r="J1122" s="47" t="s">
        <v>3891</v>
      </c>
    </row>
    <row r="1123" spans="2:10" ht="14.5">
      <c r="B1123" s="47" t="s">
        <v>3955</v>
      </c>
      <c r="C1123" s="47" t="s">
        <v>64</v>
      </c>
      <c r="D1123" s="47" t="s">
        <v>9048</v>
      </c>
      <c r="E1123" s="47"/>
      <c r="F1123" s="47" t="s">
        <v>7763</v>
      </c>
      <c r="G1123" s="364">
        <v>46076</v>
      </c>
      <c r="H1123" s="47" t="s">
        <v>7764</v>
      </c>
      <c r="I1123" s="47" t="s">
        <v>7765</v>
      </c>
      <c r="J1123" s="47" t="s">
        <v>9049</v>
      </c>
    </row>
    <row r="1124" spans="2:10" ht="14.5">
      <c r="B1124" s="47" t="s">
        <v>4116</v>
      </c>
      <c r="C1124" s="47" t="s">
        <v>64</v>
      </c>
      <c r="D1124" s="47" t="s">
        <v>9050</v>
      </c>
      <c r="E1124" s="47"/>
      <c r="F1124" s="47" t="s">
        <v>7763</v>
      </c>
      <c r="G1124" s="364">
        <v>46078</v>
      </c>
      <c r="H1124" s="47" t="s">
        <v>7764</v>
      </c>
      <c r="I1124" s="47" t="s">
        <v>7765</v>
      </c>
      <c r="J1124" s="47" t="s">
        <v>9051</v>
      </c>
    </row>
    <row r="1125" spans="2:10" ht="14.5">
      <c r="B1125" s="47" t="s">
        <v>3929</v>
      </c>
      <c r="C1125" s="47" t="s">
        <v>64</v>
      </c>
      <c r="D1125" s="47" t="s">
        <v>9052</v>
      </c>
      <c r="E1125" s="47"/>
      <c r="F1125" s="47" t="s">
        <v>7763</v>
      </c>
      <c r="G1125" s="364">
        <v>46050</v>
      </c>
      <c r="H1125" s="47" t="s">
        <v>7764</v>
      </c>
      <c r="I1125" s="47" t="s">
        <v>7765</v>
      </c>
      <c r="J1125" s="47" t="s">
        <v>9053</v>
      </c>
    </row>
    <row r="1126" spans="2:10" ht="14.5">
      <c r="B1126" s="47" t="s">
        <v>3801</v>
      </c>
      <c r="C1126" s="47" t="s">
        <v>64</v>
      </c>
      <c r="D1126" s="47" t="s">
        <v>9054</v>
      </c>
      <c r="E1126" s="47"/>
      <c r="F1126" s="47" t="s">
        <v>7763</v>
      </c>
      <c r="G1126" s="364">
        <v>46050</v>
      </c>
      <c r="H1126" s="47" t="s">
        <v>7764</v>
      </c>
      <c r="I1126" s="47" t="s">
        <v>7765</v>
      </c>
      <c r="J1126" s="47" t="s">
        <v>9055</v>
      </c>
    </row>
    <row r="1127" spans="2:10" ht="14.5">
      <c r="B1127" s="47" t="s">
        <v>3807</v>
      </c>
      <c r="C1127" s="47" t="s">
        <v>64</v>
      </c>
      <c r="D1127" s="47" t="s">
        <v>9056</v>
      </c>
      <c r="E1127" s="47"/>
      <c r="F1127" s="47" t="s">
        <v>7763</v>
      </c>
      <c r="G1127" s="364">
        <v>46064</v>
      </c>
      <c r="H1127" s="47" t="s">
        <v>7764</v>
      </c>
      <c r="I1127" s="47" t="s">
        <v>7765</v>
      </c>
      <c r="J1127" s="47" t="s">
        <v>9057</v>
      </c>
    </row>
    <row r="1128" spans="2:10" ht="14.5">
      <c r="B1128" s="47" t="s">
        <v>3839</v>
      </c>
      <c r="C1128" s="47" t="s">
        <v>64</v>
      </c>
      <c r="D1128" s="47" t="s">
        <v>9058</v>
      </c>
      <c r="E1128" s="47"/>
      <c r="F1128" s="47" t="s">
        <v>7763</v>
      </c>
      <c r="G1128" s="364">
        <v>46066</v>
      </c>
      <c r="H1128" s="47" t="s">
        <v>7764</v>
      </c>
      <c r="I1128" s="47" t="s">
        <v>7765</v>
      </c>
      <c r="J1128" s="47" t="s">
        <v>9059</v>
      </c>
    </row>
    <row r="1129" spans="2:10" ht="14.5">
      <c r="B1129" s="47" t="s">
        <v>3785</v>
      </c>
      <c r="C1129" s="47" t="s">
        <v>64</v>
      </c>
      <c r="D1129" s="47" t="s">
        <v>9060</v>
      </c>
      <c r="E1129" s="47"/>
      <c r="F1129" s="47" t="s">
        <v>7763</v>
      </c>
      <c r="G1129" s="364">
        <v>46052</v>
      </c>
      <c r="H1129" s="47" t="s">
        <v>7764</v>
      </c>
      <c r="I1129" s="47" t="s">
        <v>7765</v>
      </c>
      <c r="J1129" s="47" t="s">
        <v>9061</v>
      </c>
    </row>
    <row r="1130" spans="2:10" ht="14.5">
      <c r="B1130" s="47" t="s">
        <v>3791</v>
      </c>
      <c r="C1130" s="47" t="s">
        <v>64</v>
      </c>
      <c r="D1130" s="47" t="s">
        <v>9062</v>
      </c>
      <c r="E1130" s="47"/>
      <c r="F1130" s="47" t="s">
        <v>7763</v>
      </c>
      <c r="G1130" s="364">
        <v>46052</v>
      </c>
      <c r="H1130" s="47" t="s">
        <v>7764</v>
      </c>
      <c r="I1130" s="47" t="s">
        <v>7765</v>
      </c>
      <c r="J1130" s="47" t="s">
        <v>9063</v>
      </c>
    </row>
    <row r="1131" spans="2:10" ht="14.5">
      <c r="B1131" s="47" t="s">
        <v>3795</v>
      </c>
      <c r="C1131" s="47" t="s">
        <v>64</v>
      </c>
      <c r="D1131" s="47" t="s">
        <v>9064</v>
      </c>
      <c r="E1131" s="47"/>
      <c r="F1131" s="47" t="s">
        <v>7763</v>
      </c>
      <c r="G1131" s="364">
        <v>46062</v>
      </c>
      <c r="H1131" s="47" t="s">
        <v>7764</v>
      </c>
      <c r="I1131" s="47" t="s">
        <v>7765</v>
      </c>
      <c r="J1131" s="47" t="s">
        <v>9065</v>
      </c>
    </row>
    <row r="1132" spans="2:10" ht="14.5">
      <c r="B1132" s="47" t="s">
        <v>3847</v>
      </c>
      <c r="C1132" s="47" t="s">
        <v>64</v>
      </c>
      <c r="D1132" s="47" t="s">
        <v>9066</v>
      </c>
      <c r="E1132" s="47"/>
      <c r="F1132" s="47" t="s">
        <v>7763</v>
      </c>
      <c r="G1132" s="364">
        <v>46066</v>
      </c>
      <c r="H1132" s="47" t="s">
        <v>7764</v>
      </c>
      <c r="I1132" s="47" t="s">
        <v>7765</v>
      </c>
      <c r="J1132" s="47" t="s">
        <v>9067</v>
      </c>
    </row>
    <row r="1133" spans="2:10" ht="14.5">
      <c r="B1133" s="47" t="s">
        <v>3880</v>
      </c>
      <c r="C1133" s="47" t="s">
        <v>64</v>
      </c>
      <c r="D1133" s="47" t="s">
        <v>9068</v>
      </c>
      <c r="E1133" s="47"/>
      <c r="F1133" s="47" t="s">
        <v>7763</v>
      </c>
      <c r="G1133" s="364">
        <v>46049</v>
      </c>
      <c r="H1133" s="47" t="s">
        <v>7764</v>
      </c>
      <c r="I1133" s="47" t="s">
        <v>7765</v>
      </c>
      <c r="J1133" s="47">
        <v>371009167</v>
      </c>
    </row>
    <row r="1134" spans="2:10" ht="14.5">
      <c r="B1134" s="47" t="s">
        <v>3876</v>
      </c>
      <c r="C1134" s="47" t="s">
        <v>64</v>
      </c>
      <c r="D1134" s="47" t="s">
        <v>9069</v>
      </c>
      <c r="E1134" s="47"/>
      <c r="F1134" s="47" t="s">
        <v>7763</v>
      </c>
      <c r="G1134" s="364">
        <v>46049</v>
      </c>
      <c r="H1134" s="47" t="s">
        <v>7764</v>
      </c>
      <c r="I1134" s="47" t="s">
        <v>7765</v>
      </c>
      <c r="J1134" s="47" t="s">
        <v>3874</v>
      </c>
    </row>
    <row r="1135" spans="2:10" ht="14.5">
      <c r="B1135" s="47" t="s">
        <v>3905</v>
      </c>
      <c r="C1135" s="47" t="s">
        <v>64</v>
      </c>
      <c r="D1135" s="47" t="s">
        <v>9070</v>
      </c>
      <c r="E1135" s="47"/>
      <c r="F1135" s="47" t="s">
        <v>7763</v>
      </c>
      <c r="G1135" s="364">
        <v>46055</v>
      </c>
      <c r="H1135" s="47" t="s">
        <v>7764</v>
      </c>
      <c r="I1135" s="47" t="s">
        <v>7765</v>
      </c>
      <c r="J1135" s="47" t="s">
        <v>3904</v>
      </c>
    </row>
    <row r="1136" spans="2:10" ht="14.5">
      <c r="B1136" s="47" t="s">
        <v>3769</v>
      </c>
      <c r="C1136" s="47" t="s">
        <v>64</v>
      </c>
      <c r="D1136" s="47" t="s">
        <v>9071</v>
      </c>
      <c r="E1136" s="47"/>
      <c r="F1136" s="47" t="s">
        <v>7763</v>
      </c>
      <c r="G1136" s="364">
        <v>46044</v>
      </c>
      <c r="H1136" s="47" t="s">
        <v>7764</v>
      </c>
      <c r="I1136" s="47" t="s">
        <v>7765</v>
      </c>
      <c r="J1136" s="47" t="s">
        <v>3768</v>
      </c>
    </row>
    <row r="1137" spans="2:10" ht="14.5">
      <c r="B1137" s="47" t="s">
        <v>3901</v>
      </c>
      <c r="C1137" s="47" t="s">
        <v>64</v>
      </c>
      <c r="D1137" s="47" t="s">
        <v>9072</v>
      </c>
      <c r="E1137" s="47"/>
      <c r="F1137" s="47" t="s">
        <v>7763</v>
      </c>
      <c r="G1137" s="364">
        <v>46063</v>
      </c>
      <c r="H1137" s="47" t="s">
        <v>7764</v>
      </c>
      <c r="I1137" s="47" t="s">
        <v>7765</v>
      </c>
      <c r="J1137" s="47" t="s">
        <v>3900</v>
      </c>
    </row>
    <row r="1138" spans="2:10" ht="14.5">
      <c r="B1138" s="47" t="s">
        <v>3897</v>
      </c>
      <c r="C1138" s="47" t="s">
        <v>64</v>
      </c>
      <c r="D1138" s="47" t="s">
        <v>9073</v>
      </c>
      <c r="E1138" s="47"/>
      <c r="F1138" s="47" t="s">
        <v>7763</v>
      </c>
      <c r="G1138" s="364">
        <v>46063</v>
      </c>
      <c r="H1138" s="47" t="s">
        <v>7764</v>
      </c>
      <c r="I1138" s="47" t="s">
        <v>7765</v>
      </c>
      <c r="J1138" s="47" t="s">
        <v>3895</v>
      </c>
    </row>
    <row r="1139" spans="2:10" ht="14.5">
      <c r="B1139" s="47" t="s">
        <v>3953</v>
      </c>
      <c r="C1139" s="47" t="s">
        <v>64</v>
      </c>
      <c r="D1139" s="47" t="s">
        <v>9074</v>
      </c>
      <c r="E1139" s="47"/>
      <c r="F1139" s="47" t="s">
        <v>7763</v>
      </c>
      <c r="G1139" s="364">
        <v>46057</v>
      </c>
      <c r="H1139" s="47" t="s">
        <v>7764</v>
      </c>
      <c r="I1139" s="47" t="s">
        <v>7765</v>
      </c>
      <c r="J1139" s="47" t="s">
        <v>3952</v>
      </c>
    </row>
    <row r="1140" spans="2:10" ht="14.5">
      <c r="B1140" s="47" t="s">
        <v>4149</v>
      </c>
      <c r="C1140" s="47" t="s">
        <v>64</v>
      </c>
      <c r="D1140" s="47" t="s">
        <v>9075</v>
      </c>
      <c r="E1140" s="47"/>
      <c r="F1140" s="47" t="s">
        <v>7763</v>
      </c>
      <c r="G1140" s="364">
        <v>46063</v>
      </c>
      <c r="H1140" s="47" t="s">
        <v>7764</v>
      </c>
      <c r="I1140" s="47" t="s">
        <v>7765</v>
      </c>
      <c r="J1140" s="47" t="s">
        <v>4148</v>
      </c>
    </row>
    <row r="1141" spans="2:10" ht="14.5">
      <c r="B1141" s="47" t="s">
        <v>3951</v>
      </c>
      <c r="C1141" s="47" t="s">
        <v>64</v>
      </c>
      <c r="D1141" s="47" t="s">
        <v>9076</v>
      </c>
      <c r="E1141" s="47"/>
      <c r="F1141" s="47" t="s">
        <v>7763</v>
      </c>
      <c r="G1141" s="364">
        <v>46057</v>
      </c>
      <c r="H1141" s="47" t="s">
        <v>7764</v>
      </c>
      <c r="I1141" s="47" t="s">
        <v>7765</v>
      </c>
      <c r="J1141" s="47" t="s">
        <v>3950</v>
      </c>
    </row>
    <row r="1142" spans="2:10" ht="14.5">
      <c r="B1142" s="47" t="s">
        <v>4147</v>
      </c>
      <c r="C1142" s="47" t="s">
        <v>64</v>
      </c>
      <c r="D1142" s="47" t="s">
        <v>9077</v>
      </c>
      <c r="E1142" s="47"/>
      <c r="F1142" s="47" t="s">
        <v>7763</v>
      </c>
      <c r="G1142" s="364">
        <v>46057</v>
      </c>
      <c r="H1142" s="47" t="s">
        <v>7764</v>
      </c>
      <c r="I1142" s="47" t="s">
        <v>7765</v>
      </c>
      <c r="J1142" s="47" t="s">
        <v>4146</v>
      </c>
    </row>
    <row r="1143" spans="2:10" ht="14.5">
      <c r="B1143" s="47" t="s">
        <v>4141</v>
      </c>
      <c r="C1143" s="47" t="s">
        <v>64</v>
      </c>
      <c r="D1143" s="47" t="s">
        <v>9078</v>
      </c>
      <c r="E1143" s="47"/>
      <c r="F1143" s="47" t="s">
        <v>7763</v>
      </c>
      <c r="G1143" s="364">
        <v>46057</v>
      </c>
      <c r="H1143" s="47" t="s">
        <v>7764</v>
      </c>
      <c r="I1143" s="47" t="s">
        <v>7765</v>
      </c>
      <c r="J1143" s="47" t="s">
        <v>4140</v>
      </c>
    </row>
    <row r="1144" spans="2:10" ht="14.5">
      <c r="B1144" s="47" t="s">
        <v>3979</v>
      </c>
      <c r="C1144" s="47" t="s">
        <v>64</v>
      </c>
      <c r="D1144" s="47" t="s">
        <v>9079</v>
      </c>
      <c r="E1144" s="47"/>
      <c r="F1144" s="47" t="s">
        <v>7763</v>
      </c>
      <c r="G1144" s="364">
        <v>46071</v>
      </c>
      <c r="H1144" s="47" t="s">
        <v>7764</v>
      </c>
      <c r="I1144" s="47" t="s">
        <v>7765</v>
      </c>
      <c r="J1144" s="47" t="s">
        <v>3978</v>
      </c>
    </row>
    <row r="1145" spans="2:10" ht="14.5">
      <c r="B1145" s="47" t="s">
        <v>3983</v>
      </c>
      <c r="C1145" s="47" t="s">
        <v>64</v>
      </c>
      <c r="D1145" s="47" t="s">
        <v>9080</v>
      </c>
      <c r="E1145" s="47"/>
      <c r="F1145" s="47" t="s">
        <v>7763</v>
      </c>
      <c r="G1145" s="364">
        <v>46071</v>
      </c>
      <c r="H1145" s="47" t="s">
        <v>7764</v>
      </c>
      <c r="I1145" s="47" t="s">
        <v>7765</v>
      </c>
      <c r="J1145" s="47" t="s">
        <v>3982</v>
      </c>
    </row>
    <row r="1146" spans="2:10" ht="14.5">
      <c r="B1146" s="47" t="s">
        <v>3910</v>
      </c>
      <c r="C1146" s="47" t="s">
        <v>64</v>
      </c>
      <c r="D1146" s="47" t="s">
        <v>9081</v>
      </c>
      <c r="E1146" s="47"/>
      <c r="F1146" s="47" t="s">
        <v>7763</v>
      </c>
      <c r="G1146" s="364">
        <v>46071</v>
      </c>
      <c r="H1146" s="47" t="s">
        <v>7764</v>
      </c>
      <c r="I1146" s="47" t="s">
        <v>7765</v>
      </c>
      <c r="J1146" s="47" t="s">
        <v>3909</v>
      </c>
    </row>
    <row r="1147" spans="2:10" ht="14.5">
      <c r="B1147" s="47" t="s">
        <v>3999</v>
      </c>
      <c r="C1147" s="47" t="s">
        <v>64</v>
      </c>
      <c r="D1147" s="47" t="s">
        <v>9082</v>
      </c>
      <c r="E1147" s="47"/>
      <c r="F1147" s="47" t="s">
        <v>7763</v>
      </c>
      <c r="G1147" s="364">
        <v>46076</v>
      </c>
      <c r="H1147" s="47" t="s">
        <v>7764</v>
      </c>
      <c r="I1147" s="47" t="s">
        <v>7765</v>
      </c>
      <c r="J1147" s="47" t="s">
        <v>3998</v>
      </c>
    </row>
    <row r="1148" spans="2:10" ht="14.5">
      <c r="B1148" s="47" t="s">
        <v>4217</v>
      </c>
      <c r="C1148" s="47" t="s">
        <v>64</v>
      </c>
      <c r="D1148" s="47" t="s">
        <v>9083</v>
      </c>
      <c r="E1148" s="47"/>
      <c r="F1148" s="47" t="s">
        <v>7763</v>
      </c>
      <c r="G1148" s="364">
        <v>46071</v>
      </c>
      <c r="H1148" s="47" t="s">
        <v>7764</v>
      </c>
      <c r="I1148" s="47" t="s">
        <v>7765</v>
      </c>
      <c r="J1148" s="47"/>
    </row>
    <row r="1149" spans="2:10" ht="14.5">
      <c r="B1149" s="47" t="s">
        <v>4158</v>
      </c>
      <c r="C1149" s="47" t="s">
        <v>64</v>
      </c>
      <c r="D1149" s="47" t="s">
        <v>9084</v>
      </c>
      <c r="E1149" s="47"/>
      <c r="F1149" s="47" t="s">
        <v>7763</v>
      </c>
      <c r="G1149" s="364">
        <v>46070</v>
      </c>
      <c r="H1149" s="47" t="s">
        <v>7764</v>
      </c>
      <c r="I1149" s="47" t="s">
        <v>7765</v>
      </c>
      <c r="J1149" s="47" t="s">
        <v>4157</v>
      </c>
    </row>
    <row r="1150" spans="2:10" ht="14.5">
      <c r="B1150" s="47" t="s">
        <v>3946</v>
      </c>
      <c r="C1150" s="47" t="s">
        <v>64</v>
      </c>
      <c r="D1150" s="47" t="s">
        <v>9085</v>
      </c>
      <c r="E1150" s="47"/>
      <c r="F1150" s="47" t="s">
        <v>7763</v>
      </c>
      <c r="G1150" s="364">
        <v>46057</v>
      </c>
      <c r="H1150" s="47" t="s">
        <v>7764</v>
      </c>
      <c r="I1150" s="47" t="s">
        <v>7765</v>
      </c>
      <c r="J1150" s="47" t="s">
        <v>3945</v>
      </c>
    </row>
    <row r="1151" spans="2:10" ht="14.5">
      <c r="B1151" s="47" t="s">
        <v>4163</v>
      </c>
      <c r="C1151" s="47" t="s">
        <v>64</v>
      </c>
      <c r="D1151" s="47" t="s">
        <v>9086</v>
      </c>
      <c r="E1151" s="47"/>
      <c r="F1151" s="47" t="s">
        <v>7763</v>
      </c>
      <c r="G1151" s="364">
        <v>46063</v>
      </c>
      <c r="H1151" s="47" t="s">
        <v>7764</v>
      </c>
      <c r="I1151" s="47" t="s">
        <v>7765</v>
      </c>
      <c r="J1151" s="47" t="s">
        <v>4162</v>
      </c>
    </row>
    <row r="1152" spans="2:10" ht="14.5">
      <c r="B1152" s="47" t="s">
        <v>9087</v>
      </c>
      <c r="C1152" s="47" t="s">
        <v>64</v>
      </c>
      <c r="D1152" s="47" t="s">
        <v>9088</v>
      </c>
      <c r="E1152" s="47"/>
      <c r="F1152" s="47" t="s">
        <v>7763</v>
      </c>
      <c r="G1152" s="364">
        <v>46085</v>
      </c>
      <c r="H1152" s="47" t="s">
        <v>7911</v>
      </c>
      <c r="I1152" s="47" t="s">
        <v>7765</v>
      </c>
      <c r="J1152" s="47" t="s">
        <v>4174</v>
      </c>
    </row>
    <row r="1153" spans="2:10" ht="14.5">
      <c r="B1153" s="47" t="s">
        <v>9089</v>
      </c>
      <c r="C1153" s="47" t="s">
        <v>64</v>
      </c>
      <c r="D1153" s="47" t="s">
        <v>9090</v>
      </c>
      <c r="E1153" s="47"/>
      <c r="F1153" s="47" t="s">
        <v>7763</v>
      </c>
      <c r="G1153" s="364">
        <v>46085</v>
      </c>
      <c r="H1153" s="47" t="s">
        <v>7911</v>
      </c>
      <c r="I1153" s="47" t="s">
        <v>7765</v>
      </c>
      <c r="J1153" s="47" t="s">
        <v>4182</v>
      </c>
    </row>
    <row r="1154" spans="2:10" ht="14.5">
      <c r="B1154" s="47" t="s">
        <v>4001</v>
      </c>
      <c r="C1154" s="47" t="s">
        <v>64</v>
      </c>
      <c r="D1154" s="47" t="s">
        <v>9091</v>
      </c>
      <c r="E1154" s="47"/>
      <c r="F1154" s="47" t="s">
        <v>7763</v>
      </c>
      <c r="G1154" s="364">
        <v>46076</v>
      </c>
      <c r="H1154" s="47" t="s">
        <v>7764</v>
      </c>
      <c r="I1154" s="47" t="s">
        <v>7765</v>
      </c>
      <c r="J1154" s="47"/>
    </row>
    <row r="1155" spans="2:10" ht="14.5">
      <c r="B1155" s="47" t="s">
        <v>4145</v>
      </c>
      <c r="C1155" s="47" t="s">
        <v>64</v>
      </c>
      <c r="D1155" s="47" t="s">
        <v>9092</v>
      </c>
      <c r="E1155" s="47"/>
      <c r="F1155" s="47" t="s">
        <v>7763</v>
      </c>
      <c r="G1155" s="364">
        <v>46062</v>
      </c>
      <c r="H1155" s="47" t="s">
        <v>7764</v>
      </c>
      <c r="I1155" s="47" t="s">
        <v>7765</v>
      </c>
      <c r="J1155" s="47"/>
    </row>
    <row r="1156" spans="2:10" ht="14.5">
      <c r="B1156" s="47" t="s">
        <v>4245</v>
      </c>
      <c r="C1156" s="47" t="s">
        <v>64</v>
      </c>
      <c r="D1156" s="47" t="s">
        <v>9093</v>
      </c>
      <c r="E1156" s="47"/>
      <c r="F1156" s="47" t="s">
        <v>7763</v>
      </c>
      <c r="G1156" s="364">
        <v>46078</v>
      </c>
      <c r="H1156" s="47" t="s">
        <v>7764</v>
      </c>
      <c r="I1156" s="47" t="s">
        <v>7765</v>
      </c>
      <c r="J1156" s="47" t="s">
        <v>4244</v>
      </c>
    </row>
    <row r="1157" spans="2:10" ht="14.5">
      <c r="B1157" s="47" t="s">
        <v>9094</v>
      </c>
      <c r="C1157" s="47" t="s">
        <v>64</v>
      </c>
      <c r="D1157" s="47" t="s">
        <v>9095</v>
      </c>
      <c r="E1157" s="47"/>
      <c r="F1157" s="47" t="s">
        <v>7763</v>
      </c>
      <c r="G1157" s="364">
        <v>46085</v>
      </c>
      <c r="H1157" s="47" t="s">
        <v>7911</v>
      </c>
      <c r="I1157" s="47" t="s">
        <v>7765</v>
      </c>
      <c r="J1157" s="47" t="s">
        <v>4184</v>
      </c>
    </row>
    <row r="1158" spans="2:10" ht="14.5">
      <c r="B1158" s="47" t="s">
        <v>4235</v>
      </c>
      <c r="C1158" s="47" t="s">
        <v>64</v>
      </c>
      <c r="D1158" s="47" t="s">
        <v>9096</v>
      </c>
      <c r="E1158" s="47"/>
      <c r="F1158" s="47" t="s">
        <v>7763</v>
      </c>
      <c r="G1158" s="364">
        <v>46083</v>
      </c>
      <c r="H1158" s="47" t="s">
        <v>7764</v>
      </c>
      <c r="I1158" s="47" t="s">
        <v>7765</v>
      </c>
      <c r="J1158" s="47"/>
    </row>
    <row r="1159" spans="2:10" ht="14.5">
      <c r="B1159" s="47" t="s">
        <v>4249</v>
      </c>
      <c r="C1159" s="47" t="s">
        <v>64</v>
      </c>
      <c r="D1159" s="47" t="s">
        <v>9097</v>
      </c>
      <c r="E1159" s="47"/>
      <c r="F1159" s="47" t="s">
        <v>7763</v>
      </c>
      <c r="G1159" s="364">
        <v>46078</v>
      </c>
      <c r="H1159" s="47" t="s">
        <v>7764</v>
      </c>
      <c r="I1159" s="47" t="s">
        <v>7765</v>
      </c>
      <c r="J1159" s="47"/>
    </row>
    <row r="1160" spans="2:10" ht="14.5">
      <c r="B1160" s="47" t="s">
        <v>4241</v>
      </c>
      <c r="C1160" s="47" t="s">
        <v>64</v>
      </c>
      <c r="D1160" s="47" t="s">
        <v>9098</v>
      </c>
      <c r="E1160" s="47"/>
      <c r="F1160" s="47" t="s">
        <v>7763</v>
      </c>
      <c r="G1160" s="364">
        <v>46066</v>
      </c>
      <c r="H1160" s="47" t="s">
        <v>7764</v>
      </c>
      <c r="I1160" s="47" t="s">
        <v>7765</v>
      </c>
      <c r="J1160" s="47"/>
    </row>
    <row r="1161" spans="2:10" ht="14.5">
      <c r="B1161" s="47" t="s">
        <v>4165</v>
      </c>
      <c r="C1161" s="47" t="s">
        <v>64</v>
      </c>
      <c r="D1161" s="47" t="s">
        <v>9099</v>
      </c>
      <c r="E1161" s="47"/>
      <c r="F1161" s="47" t="s">
        <v>7763</v>
      </c>
      <c r="G1161" s="364">
        <v>46086</v>
      </c>
      <c r="H1161" s="47" t="s">
        <v>7764</v>
      </c>
      <c r="I1161" s="47" t="s">
        <v>7765</v>
      </c>
      <c r="J1161" s="47"/>
    </row>
    <row r="1162" spans="2:10" ht="14.5">
      <c r="B1162" s="47" t="s">
        <v>4171</v>
      </c>
      <c r="C1162" s="47" t="s">
        <v>64</v>
      </c>
      <c r="D1162" s="47" t="s">
        <v>9100</v>
      </c>
      <c r="E1162" s="47"/>
      <c r="F1162" s="47" t="s">
        <v>7763</v>
      </c>
      <c r="G1162" s="364">
        <v>46086</v>
      </c>
      <c r="H1162" s="47" t="s">
        <v>7764</v>
      </c>
      <c r="I1162" s="47" t="s">
        <v>7765</v>
      </c>
      <c r="J1162" s="47"/>
    </row>
    <row r="1163" spans="2:10" ht="14.5">
      <c r="B1163" s="47" t="s">
        <v>4275</v>
      </c>
      <c r="C1163" s="47" t="s">
        <v>64</v>
      </c>
      <c r="D1163" s="47" t="s">
        <v>9101</v>
      </c>
      <c r="E1163" s="47"/>
      <c r="F1163" s="47" t="s">
        <v>7763</v>
      </c>
      <c r="G1163" s="364">
        <v>46070</v>
      </c>
      <c r="H1163" s="47" t="s">
        <v>7764</v>
      </c>
      <c r="I1163" s="47" t="s">
        <v>7765</v>
      </c>
      <c r="J1163" s="47"/>
    </row>
    <row r="1164" spans="2:10" ht="14.5">
      <c r="B1164" s="47" t="s">
        <v>4270</v>
      </c>
      <c r="C1164" s="47" t="s">
        <v>64</v>
      </c>
      <c r="D1164" s="47" t="s">
        <v>9102</v>
      </c>
      <c r="E1164" s="47"/>
      <c r="F1164" s="47" t="s">
        <v>7763</v>
      </c>
      <c r="G1164" s="364">
        <v>46070</v>
      </c>
      <c r="H1164" s="47" t="s">
        <v>7764</v>
      </c>
      <c r="I1164" s="47" t="s">
        <v>7765</v>
      </c>
      <c r="J1164" s="47"/>
    </row>
    <row r="1165" spans="2:10" ht="14.5">
      <c r="B1165" s="47" t="s">
        <v>9103</v>
      </c>
      <c r="C1165" s="47" t="s">
        <v>64</v>
      </c>
      <c r="D1165" s="47" t="s">
        <v>9104</v>
      </c>
      <c r="E1165" s="47"/>
      <c r="F1165" s="47" t="s">
        <v>7763</v>
      </c>
      <c r="G1165" s="364">
        <v>46085</v>
      </c>
      <c r="H1165" s="47" t="s">
        <v>7911</v>
      </c>
      <c r="I1165" s="47" t="s">
        <v>7765</v>
      </c>
      <c r="J1165" s="47" t="s">
        <v>4180</v>
      </c>
    </row>
    <row r="1166" spans="2:10" ht="14.5">
      <c r="B1166" s="47" t="s">
        <v>4260</v>
      </c>
      <c r="C1166" s="47" t="s">
        <v>64</v>
      </c>
      <c r="D1166" s="47" t="s">
        <v>9105</v>
      </c>
      <c r="E1166" s="47"/>
      <c r="F1166" s="47" t="s">
        <v>7763</v>
      </c>
      <c r="G1166" s="364">
        <v>46077</v>
      </c>
      <c r="H1166" s="47" t="s">
        <v>7764</v>
      </c>
      <c r="I1166" s="47" t="s">
        <v>7765</v>
      </c>
      <c r="J1166" s="47" t="s">
        <v>4259</v>
      </c>
    </row>
    <row r="1167" spans="2:10" ht="14.5">
      <c r="B1167" s="47" t="s">
        <v>4187</v>
      </c>
      <c r="C1167" s="47" t="s">
        <v>64</v>
      </c>
      <c r="D1167" s="47" t="s">
        <v>9106</v>
      </c>
      <c r="E1167" s="47"/>
      <c r="F1167" s="47" t="s">
        <v>7763</v>
      </c>
      <c r="G1167" s="364">
        <v>46083</v>
      </c>
      <c r="H1167" s="47" t="s">
        <v>7764</v>
      </c>
      <c r="I1167" s="47" t="s">
        <v>7765</v>
      </c>
      <c r="J1167" s="47" t="s">
        <v>4186</v>
      </c>
    </row>
    <row r="1168" spans="2:10" ht="14.5">
      <c r="B1168" s="47" t="s">
        <v>4193</v>
      </c>
      <c r="C1168" s="47" t="s">
        <v>64</v>
      </c>
      <c r="D1168" s="47" t="s">
        <v>9107</v>
      </c>
      <c r="E1168" s="47"/>
      <c r="F1168" s="47" t="s">
        <v>7763</v>
      </c>
      <c r="G1168" s="364">
        <v>46083</v>
      </c>
      <c r="H1168" s="47" t="s">
        <v>7764</v>
      </c>
      <c r="I1168" s="47" t="s">
        <v>7765</v>
      </c>
      <c r="J1168" s="47"/>
    </row>
    <row r="1169" spans="2:10" ht="14.5">
      <c r="B1169" s="47" t="s">
        <v>4226</v>
      </c>
      <c r="C1169" s="47" t="s">
        <v>64</v>
      </c>
      <c r="D1169" s="47" t="s">
        <v>9108</v>
      </c>
      <c r="E1169" s="47"/>
      <c r="F1169" s="47" t="s">
        <v>7763</v>
      </c>
      <c r="G1169" s="364">
        <v>46065</v>
      </c>
      <c r="H1169" s="47" t="s">
        <v>7764</v>
      </c>
      <c r="I1169" s="47" t="s">
        <v>7765</v>
      </c>
      <c r="J1169" s="47" t="s">
        <v>4225</v>
      </c>
    </row>
    <row r="1170" spans="2:10" ht="14.5">
      <c r="B1170" s="47" t="s">
        <v>4233</v>
      </c>
      <c r="C1170" s="47" t="s">
        <v>64</v>
      </c>
      <c r="D1170" s="47" t="s">
        <v>9109</v>
      </c>
      <c r="E1170" s="47"/>
      <c r="F1170" s="47" t="s">
        <v>7763</v>
      </c>
      <c r="G1170" s="364">
        <v>46065</v>
      </c>
      <c r="H1170" s="47" t="s">
        <v>7764</v>
      </c>
      <c r="I1170" s="47" t="s">
        <v>7765</v>
      </c>
      <c r="J1170" s="47" t="s">
        <v>4232</v>
      </c>
    </row>
    <row r="1171" spans="2:10" ht="14.5">
      <c r="B1171" s="47" t="s">
        <v>4231</v>
      </c>
      <c r="C1171" s="47" t="s">
        <v>64</v>
      </c>
      <c r="D1171" s="47" t="s">
        <v>9110</v>
      </c>
      <c r="E1171" s="47"/>
      <c r="F1171" s="47" t="s">
        <v>7763</v>
      </c>
      <c r="G1171" s="364">
        <v>46061</v>
      </c>
      <c r="H1171" s="47" t="s">
        <v>7764</v>
      </c>
      <c r="I1171" s="47" t="s">
        <v>7765</v>
      </c>
      <c r="J1171" s="47"/>
    </row>
    <row r="1172" spans="2:10" ht="14.5">
      <c r="B1172" s="47" t="s">
        <v>4195</v>
      </c>
      <c r="C1172" s="47" t="s">
        <v>64</v>
      </c>
      <c r="D1172" s="47" t="s">
        <v>9111</v>
      </c>
      <c r="E1172" s="47"/>
      <c r="F1172" s="47" t="s">
        <v>7763</v>
      </c>
      <c r="G1172" s="364">
        <v>46083</v>
      </c>
      <c r="H1172" s="47" t="s">
        <v>7764</v>
      </c>
      <c r="I1172" s="47" t="s">
        <v>7765</v>
      </c>
      <c r="J1172" s="47"/>
    </row>
    <row r="1173" spans="2:10" ht="14.5">
      <c r="B1173" s="47" t="s">
        <v>4239</v>
      </c>
      <c r="C1173" s="47" t="s">
        <v>64</v>
      </c>
      <c r="D1173" s="47" t="s">
        <v>9112</v>
      </c>
      <c r="E1173" s="47"/>
      <c r="F1173" s="47" t="s">
        <v>7763</v>
      </c>
      <c r="G1173" s="364">
        <v>46083</v>
      </c>
      <c r="H1173" s="47" t="s">
        <v>7764</v>
      </c>
      <c r="I1173" s="47" t="s">
        <v>7765</v>
      </c>
      <c r="J1173" s="47"/>
    </row>
    <row r="1174" spans="2:10" ht="14.5">
      <c r="B1174" s="47" t="s">
        <v>4221</v>
      </c>
      <c r="C1174" s="47" t="s">
        <v>64</v>
      </c>
      <c r="D1174" s="47" t="s">
        <v>9113</v>
      </c>
      <c r="E1174" s="47"/>
      <c r="F1174" s="47" t="s">
        <v>7763</v>
      </c>
      <c r="G1174" s="364">
        <v>46083</v>
      </c>
      <c r="H1174" s="47" t="s">
        <v>7764</v>
      </c>
      <c r="I1174" s="47" t="s">
        <v>7765</v>
      </c>
      <c r="J1174" s="47"/>
    </row>
    <row r="1175" spans="2:10" ht="14.5">
      <c r="B1175" s="47" t="s">
        <v>4206</v>
      </c>
      <c r="C1175" s="47" t="s">
        <v>64</v>
      </c>
      <c r="D1175" s="47" t="s">
        <v>9114</v>
      </c>
      <c r="E1175" s="47"/>
      <c r="F1175" s="47" t="s">
        <v>7763</v>
      </c>
      <c r="G1175" s="364">
        <v>46083</v>
      </c>
      <c r="H1175" s="47" t="s">
        <v>7764</v>
      </c>
      <c r="I1175" s="47" t="s">
        <v>7765</v>
      </c>
      <c r="J1175" s="47" t="s">
        <v>4205</v>
      </c>
    </row>
    <row r="1176" spans="2:10" ht="14.5">
      <c r="B1176" s="47" t="s">
        <v>4173</v>
      </c>
      <c r="C1176" s="47" t="s">
        <v>64</v>
      </c>
      <c r="D1176" s="47" t="s">
        <v>9115</v>
      </c>
      <c r="E1176" s="47"/>
      <c r="F1176" s="47" t="s">
        <v>7763</v>
      </c>
      <c r="G1176" s="364">
        <v>46086</v>
      </c>
      <c r="H1176" s="47" t="s">
        <v>7764</v>
      </c>
      <c r="I1176" s="47" t="s">
        <v>7765</v>
      </c>
      <c r="J1176" s="47"/>
    </row>
    <row r="1177" spans="2:10" ht="14.5">
      <c r="B1177" s="47" t="s">
        <v>4201</v>
      </c>
      <c r="C1177" s="47" t="s">
        <v>64</v>
      </c>
      <c r="D1177" s="47" t="s">
        <v>9116</v>
      </c>
      <c r="E1177" s="47"/>
      <c r="F1177" s="47" t="s">
        <v>7763</v>
      </c>
      <c r="G1177" s="364">
        <v>46083</v>
      </c>
      <c r="H1177" s="47" t="s">
        <v>7764</v>
      </c>
      <c r="I1177" s="47" t="s">
        <v>7765</v>
      </c>
      <c r="J1177" s="47" t="s">
        <v>4200</v>
      </c>
    </row>
    <row r="1178" spans="2:10" ht="14.5">
      <c r="B1178" s="47" t="s">
        <v>76</v>
      </c>
      <c r="C1178" s="47" t="s">
        <v>64</v>
      </c>
      <c r="D1178" s="47" t="s">
        <v>9117</v>
      </c>
      <c r="E1178" s="47"/>
      <c r="F1178" s="47" t="s">
        <v>7763</v>
      </c>
      <c r="G1178" s="364">
        <v>46112</v>
      </c>
      <c r="H1178" s="47" t="s">
        <v>7764</v>
      </c>
      <c r="I1178" s="47" t="s">
        <v>7765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9118</v>
      </c>
      <c r="E1179" s="47"/>
      <c r="F1179" s="47" t="s">
        <v>7763</v>
      </c>
      <c r="G1179" s="364">
        <v>46112</v>
      </c>
      <c r="H1179" s="47" t="s">
        <v>7764</v>
      </c>
      <c r="I1179" s="47" t="s">
        <v>7765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9119</v>
      </c>
      <c r="E1180" s="47"/>
      <c r="F1180" s="47" t="s">
        <v>7763</v>
      </c>
      <c r="G1180" s="364">
        <v>46112</v>
      </c>
      <c r="H1180" s="47" t="s">
        <v>7764</v>
      </c>
      <c r="I1180" s="47" t="s">
        <v>7765</v>
      </c>
      <c r="J1180" s="47" t="s">
        <v>87</v>
      </c>
    </row>
    <row r="1181" spans="2:10" ht="14.5">
      <c r="B1181" s="47" t="s">
        <v>3960</v>
      </c>
      <c r="C1181" s="47" t="s">
        <v>64</v>
      </c>
      <c r="D1181" s="47" t="s">
        <v>9120</v>
      </c>
      <c r="E1181" s="47"/>
      <c r="F1181" s="47" t="s">
        <v>7763</v>
      </c>
      <c r="G1181" s="364">
        <v>46076</v>
      </c>
      <c r="H1181" s="47" t="s">
        <v>7764</v>
      </c>
      <c r="I1181" s="47" t="s">
        <v>7765</v>
      </c>
      <c r="J1181" s="47"/>
    </row>
    <row r="1182" spans="2:10" ht="14.5">
      <c r="B1182" s="47" t="s">
        <v>4256</v>
      </c>
      <c r="C1182" s="47" t="s">
        <v>64</v>
      </c>
      <c r="D1182" s="47" t="s">
        <v>9121</v>
      </c>
      <c r="E1182" s="47"/>
      <c r="F1182" s="47" t="s">
        <v>7763</v>
      </c>
      <c r="G1182" s="364">
        <v>46077</v>
      </c>
      <c r="H1182" s="47" t="s">
        <v>7764</v>
      </c>
      <c r="I1182" s="47" t="s">
        <v>7765</v>
      </c>
      <c r="J1182" s="47" t="s">
        <v>4254</v>
      </c>
    </row>
    <row r="1183" spans="2:10" ht="14.5">
      <c r="B1183" s="47" t="s">
        <v>3758</v>
      </c>
      <c r="C1183" s="47" t="s">
        <v>64</v>
      </c>
      <c r="D1183" s="47">
        <v>371009111</v>
      </c>
      <c r="E1183" s="47"/>
      <c r="F1183" s="47" t="s">
        <v>7763</v>
      </c>
      <c r="G1183" s="364">
        <v>46035</v>
      </c>
      <c r="H1183" s="47" t="s">
        <v>7764</v>
      </c>
      <c r="I1183" s="47" t="s">
        <v>7765</v>
      </c>
      <c r="J1183" s="47"/>
    </row>
    <row r="1184" spans="2:10" ht="14.5">
      <c r="B1184" s="47" t="s">
        <v>4383</v>
      </c>
      <c r="C1184" s="47" t="s">
        <v>7761</v>
      </c>
      <c r="D1184" s="47" t="s">
        <v>9122</v>
      </c>
      <c r="E1184" s="47"/>
      <c r="F1184" s="47" t="s">
        <v>7763</v>
      </c>
      <c r="G1184" s="364">
        <v>46079</v>
      </c>
      <c r="H1184" s="47" t="s">
        <v>7764</v>
      </c>
      <c r="I1184" s="47" t="s">
        <v>7765</v>
      </c>
      <c r="J1184" s="47"/>
    </row>
    <row r="1185" spans="2:10" ht="14.5">
      <c r="B1185" s="47" t="s">
        <v>4387</v>
      </c>
      <c r="C1185" s="47" t="s">
        <v>7761</v>
      </c>
      <c r="D1185" s="47" t="s">
        <v>9123</v>
      </c>
      <c r="E1185" s="47"/>
      <c r="F1185" s="47" t="s">
        <v>7763</v>
      </c>
      <c r="G1185" s="364">
        <v>46086</v>
      </c>
      <c r="H1185" s="47" t="s">
        <v>7764</v>
      </c>
      <c r="I1185" s="47" t="s">
        <v>7765</v>
      </c>
      <c r="J1185" s="47"/>
    </row>
    <row r="1186" spans="2:10" ht="14.5">
      <c r="B1186" s="47" t="s">
        <v>4390</v>
      </c>
      <c r="C1186" s="47" t="s">
        <v>7761</v>
      </c>
      <c r="D1186" s="47" t="s">
        <v>9124</v>
      </c>
      <c r="E1186" s="47"/>
      <c r="F1186" s="47" t="s">
        <v>7763</v>
      </c>
      <c r="G1186" s="364">
        <v>46086</v>
      </c>
      <c r="H1186" s="47" t="s">
        <v>7764</v>
      </c>
      <c r="I1186" s="47" t="s">
        <v>7765</v>
      </c>
      <c r="J1186" s="47"/>
    </row>
    <row r="1187" spans="2:10" ht="14.5">
      <c r="B1187" s="47" t="s">
        <v>3882</v>
      </c>
      <c r="C1187" s="47" t="s">
        <v>64</v>
      </c>
      <c r="D1187" s="47" t="s">
        <v>9125</v>
      </c>
      <c r="E1187" s="47"/>
      <c r="F1187" s="47" t="s">
        <v>7763</v>
      </c>
      <c r="G1187" s="364">
        <v>46069</v>
      </c>
      <c r="H1187" s="47" t="s">
        <v>7764</v>
      </c>
      <c r="I1187" s="47" t="s">
        <v>7765</v>
      </c>
      <c r="J1187" s="47" t="s">
        <v>3881</v>
      </c>
    </row>
    <row r="1188" spans="2:10" ht="14.5">
      <c r="B1188" s="47" t="s">
        <v>3903</v>
      </c>
      <c r="C1188" s="47" t="s">
        <v>64</v>
      </c>
      <c r="D1188" s="47" t="s">
        <v>9126</v>
      </c>
      <c r="E1188" s="47"/>
      <c r="F1188" s="47" t="s">
        <v>7763</v>
      </c>
      <c r="G1188" s="364">
        <v>46063</v>
      </c>
      <c r="H1188" s="47" t="s">
        <v>7764</v>
      </c>
      <c r="I1188" s="47" t="s">
        <v>7765</v>
      </c>
      <c r="J1188" s="47" t="s">
        <v>3902</v>
      </c>
    </row>
    <row r="1189" spans="2:10" ht="14.5">
      <c r="B1189" s="47" t="s">
        <v>3809</v>
      </c>
      <c r="C1189" s="47" t="s">
        <v>64</v>
      </c>
      <c r="D1189" s="47" t="s">
        <v>9127</v>
      </c>
      <c r="E1189" s="47"/>
      <c r="F1189" s="47" t="s">
        <v>7763</v>
      </c>
      <c r="G1189" s="364">
        <v>46052</v>
      </c>
      <c r="H1189" s="47" t="s">
        <v>7764</v>
      </c>
      <c r="I1189" s="47" t="s">
        <v>7765</v>
      </c>
      <c r="J1189" s="47" t="s">
        <v>3808</v>
      </c>
    </row>
    <row r="1190" spans="2:10" ht="14.5">
      <c r="B1190" s="47" t="s">
        <v>4283</v>
      </c>
      <c r="C1190" s="47" t="s">
        <v>64</v>
      </c>
      <c r="D1190" s="47" t="s">
        <v>9128</v>
      </c>
      <c r="E1190" s="47"/>
      <c r="F1190" s="47" t="s">
        <v>7763</v>
      </c>
      <c r="G1190" s="364">
        <v>46059</v>
      </c>
      <c r="H1190" s="47" t="s">
        <v>7764</v>
      </c>
      <c r="I1190" s="47" t="s">
        <v>7765</v>
      </c>
      <c r="J1190" s="47"/>
    </row>
    <row r="1191" spans="2:10" ht="14.5">
      <c r="B1191" s="47" t="s">
        <v>4277</v>
      </c>
      <c r="C1191" s="47" t="s">
        <v>64</v>
      </c>
      <c r="D1191" s="47" t="s">
        <v>9129</v>
      </c>
      <c r="E1191" s="47"/>
      <c r="F1191" s="47" t="s">
        <v>7763</v>
      </c>
      <c r="G1191" s="364">
        <v>46063</v>
      </c>
      <c r="H1191" s="47" t="s">
        <v>7764</v>
      </c>
      <c r="I1191" s="47" t="s">
        <v>7765</v>
      </c>
      <c r="J1191" s="47" t="s">
        <v>4276</v>
      </c>
    </row>
    <row r="1192" spans="2:10" ht="14.5">
      <c r="B1192" s="47" t="s">
        <v>3975</v>
      </c>
      <c r="C1192" s="47" t="s">
        <v>64</v>
      </c>
      <c r="D1192" s="47" t="s">
        <v>9130</v>
      </c>
      <c r="E1192" s="47"/>
      <c r="F1192" s="47" t="s">
        <v>7763</v>
      </c>
      <c r="G1192" s="364">
        <v>46076</v>
      </c>
      <c r="H1192" s="47" t="s">
        <v>7764</v>
      </c>
      <c r="I1192" s="47" t="s">
        <v>7765</v>
      </c>
      <c r="J1192" s="47" t="s">
        <v>3972</v>
      </c>
    </row>
    <row r="1193" spans="2:10" ht="14.5">
      <c r="B1193" s="47" t="s">
        <v>3988</v>
      </c>
      <c r="C1193" s="47" t="s">
        <v>64</v>
      </c>
      <c r="D1193" s="47" t="s">
        <v>9131</v>
      </c>
      <c r="E1193" s="47"/>
      <c r="F1193" s="47" t="s">
        <v>7763</v>
      </c>
      <c r="G1193" s="364">
        <v>46076</v>
      </c>
      <c r="H1193" s="47" t="s">
        <v>7764</v>
      </c>
      <c r="I1193" s="47" t="s">
        <v>7765</v>
      </c>
      <c r="J1193" s="47" t="s">
        <v>3987</v>
      </c>
    </row>
    <row r="1194" spans="2:10" ht="14.5">
      <c r="B1194" s="47" t="s">
        <v>3994</v>
      </c>
      <c r="C1194" s="47" t="s">
        <v>64</v>
      </c>
      <c r="D1194" s="47" t="s">
        <v>9132</v>
      </c>
      <c r="E1194" s="47"/>
      <c r="F1194" s="47" t="s">
        <v>7763</v>
      </c>
      <c r="G1194" s="364">
        <v>46076</v>
      </c>
      <c r="H1194" s="47" t="s">
        <v>7764</v>
      </c>
      <c r="I1194" s="47" t="s">
        <v>7765</v>
      </c>
      <c r="J1194" s="47" t="s">
        <v>3991</v>
      </c>
    </row>
    <row r="1195" spans="2:10" ht="14.5">
      <c r="B1195" s="47" t="s">
        <v>3997</v>
      </c>
      <c r="C1195" s="47" t="s">
        <v>64</v>
      </c>
      <c r="D1195" s="47" t="s">
        <v>9133</v>
      </c>
      <c r="E1195" s="47"/>
      <c r="F1195" s="47" t="s">
        <v>7763</v>
      </c>
      <c r="G1195" s="364">
        <v>46076</v>
      </c>
      <c r="H1195" s="47" t="s">
        <v>7764</v>
      </c>
      <c r="I1195" s="47" t="s">
        <v>7765</v>
      </c>
      <c r="J1195" s="47" t="s">
        <v>3995</v>
      </c>
    </row>
    <row r="1196" spans="2:10" ht="14.5">
      <c r="B1196" s="47" t="s">
        <v>3942</v>
      </c>
      <c r="C1196" s="47" t="s">
        <v>64</v>
      </c>
      <c r="D1196" s="47" t="s">
        <v>9134</v>
      </c>
      <c r="E1196" s="47"/>
      <c r="F1196" s="47" t="s">
        <v>7763</v>
      </c>
      <c r="G1196" s="364">
        <v>46069</v>
      </c>
      <c r="H1196" s="47" t="s">
        <v>7764</v>
      </c>
      <c r="I1196" s="47" t="s">
        <v>7765</v>
      </c>
      <c r="J1196" s="47" t="s">
        <v>3941</v>
      </c>
    </row>
    <row r="1197" spans="2:10" ht="14.5">
      <c r="B1197" s="47" t="s">
        <v>3940</v>
      </c>
      <c r="C1197" s="47" t="s">
        <v>64</v>
      </c>
      <c r="D1197" s="47" t="s">
        <v>9135</v>
      </c>
      <c r="E1197" s="47"/>
      <c r="F1197" s="47" t="s">
        <v>7763</v>
      </c>
      <c r="G1197" s="364">
        <v>46071</v>
      </c>
      <c r="H1197" s="47" t="s">
        <v>7764</v>
      </c>
      <c r="I1197" s="47" t="s">
        <v>7765</v>
      </c>
      <c r="J1197" s="47" t="s">
        <v>3939</v>
      </c>
    </row>
    <row r="1198" spans="2:10" ht="14.5">
      <c r="B1198" s="47" t="s">
        <v>3934</v>
      </c>
      <c r="C1198" s="47" t="s">
        <v>64</v>
      </c>
      <c r="D1198" s="47" t="s">
        <v>9136</v>
      </c>
      <c r="E1198" s="47"/>
      <c r="F1198" s="47" t="s">
        <v>7763</v>
      </c>
      <c r="G1198" s="364">
        <v>46049</v>
      </c>
      <c r="H1198" s="47" t="s">
        <v>7764</v>
      </c>
      <c r="I1198" s="47" t="s">
        <v>7765</v>
      </c>
      <c r="J1198" s="47" t="s">
        <v>3932</v>
      </c>
    </row>
    <row r="1199" spans="2:10" ht="14.5">
      <c r="B1199" s="47" t="s">
        <v>3936</v>
      </c>
      <c r="C1199" s="47" t="s">
        <v>64</v>
      </c>
      <c r="D1199" s="47" t="s">
        <v>9137</v>
      </c>
      <c r="E1199" s="47"/>
      <c r="F1199" s="47" t="s">
        <v>7763</v>
      </c>
      <c r="G1199" s="364">
        <v>46071</v>
      </c>
      <c r="H1199" s="47" t="s">
        <v>7764</v>
      </c>
      <c r="I1199" s="47" t="s">
        <v>7765</v>
      </c>
      <c r="J1199" s="47" t="s">
        <v>3935</v>
      </c>
    </row>
    <row r="1200" spans="2:10" ht="14.5">
      <c r="B1200" s="47" t="s">
        <v>9053</v>
      </c>
      <c r="C1200" s="47" t="s">
        <v>64</v>
      </c>
      <c r="D1200" s="47" t="s">
        <v>9052</v>
      </c>
      <c r="E1200" s="47"/>
      <c r="F1200" s="47" t="s">
        <v>7763</v>
      </c>
      <c r="G1200" s="364">
        <v>46041</v>
      </c>
      <c r="H1200" s="47" t="s">
        <v>7911</v>
      </c>
      <c r="I1200" s="47" t="s">
        <v>7765</v>
      </c>
      <c r="J1200" s="47"/>
    </row>
    <row r="1201" spans="2:10" ht="14.5">
      <c r="B1201" s="47" t="s">
        <v>3862</v>
      </c>
      <c r="C1201" s="47" t="s">
        <v>64</v>
      </c>
      <c r="D1201" s="47" t="s">
        <v>9138</v>
      </c>
      <c r="E1201" s="47"/>
      <c r="F1201" s="47" t="s">
        <v>7763</v>
      </c>
      <c r="G1201" s="364">
        <v>46069</v>
      </c>
      <c r="H1201" s="47" t="s">
        <v>7764</v>
      </c>
      <c r="I1201" s="47" t="s">
        <v>7765</v>
      </c>
      <c r="J1201" s="47" t="s">
        <v>3861</v>
      </c>
    </row>
    <row r="1202" spans="2:10" ht="14.5">
      <c r="B1202" s="47" t="s">
        <v>9067</v>
      </c>
      <c r="C1202" s="47" t="s">
        <v>64</v>
      </c>
      <c r="D1202" s="47" t="s">
        <v>9066</v>
      </c>
      <c r="E1202" s="47"/>
      <c r="F1202" s="47" t="s">
        <v>7763</v>
      </c>
      <c r="G1202" s="364">
        <v>46059</v>
      </c>
      <c r="H1202" s="47" t="s">
        <v>7911</v>
      </c>
      <c r="I1202" s="47" t="s">
        <v>7765</v>
      </c>
      <c r="J1202" s="47"/>
    </row>
    <row r="1203" spans="2:10" ht="14.5">
      <c r="B1203" s="47" t="s">
        <v>3968</v>
      </c>
      <c r="C1203" s="47" t="s">
        <v>64</v>
      </c>
      <c r="D1203" s="47" t="s">
        <v>9139</v>
      </c>
      <c r="E1203" s="47"/>
      <c r="F1203" s="47" t="s">
        <v>7763</v>
      </c>
      <c r="G1203" s="364">
        <v>46063</v>
      </c>
      <c r="H1203" s="47" t="s">
        <v>7764</v>
      </c>
      <c r="I1203" s="47" t="s">
        <v>7765</v>
      </c>
      <c r="J1203" s="47"/>
    </row>
    <row r="1204" spans="2:10" ht="14.5">
      <c r="B1204" s="47" t="s">
        <v>4128</v>
      </c>
      <c r="C1204" s="47" t="s">
        <v>64</v>
      </c>
      <c r="D1204" s="47" t="s">
        <v>9140</v>
      </c>
      <c r="E1204" s="47"/>
      <c r="F1204" s="47" t="s">
        <v>7763</v>
      </c>
      <c r="G1204" s="364">
        <v>46076</v>
      </c>
      <c r="H1204" s="47" t="s">
        <v>7764</v>
      </c>
      <c r="I1204" s="47" t="s">
        <v>7765</v>
      </c>
      <c r="J1204" s="47" t="s">
        <v>4127</v>
      </c>
    </row>
    <row r="1205" spans="2:10" ht="14.5">
      <c r="B1205" s="47" t="s">
        <v>9065</v>
      </c>
      <c r="C1205" s="47" t="s">
        <v>64</v>
      </c>
      <c r="D1205" s="47" t="s">
        <v>9064</v>
      </c>
      <c r="E1205" s="47"/>
      <c r="F1205" s="47" t="s">
        <v>7763</v>
      </c>
      <c r="G1205" s="364">
        <v>46049</v>
      </c>
      <c r="H1205" s="47" t="s">
        <v>7911</v>
      </c>
      <c r="I1205" s="47" t="s">
        <v>7765</v>
      </c>
      <c r="J1205" s="47"/>
    </row>
    <row r="1206" spans="2:10" ht="14.5">
      <c r="B1206" s="47" t="s">
        <v>9057</v>
      </c>
      <c r="C1206" s="47" t="s">
        <v>64</v>
      </c>
      <c r="D1206" s="47" t="s">
        <v>9056</v>
      </c>
      <c r="E1206" s="47"/>
      <c r="F1206" s="47" t="s">
        <v>7763</v>
      </c>
      <c r="G1206" s="364">
        <v>46049</v>
      </c>
      <c r="H1206" s="47" t="s">
        <v>7911</v>
      </c>
      <c r="I1206" s="47" t="s">
        <v>7765</v>
      </c>
      <c r="J1206" s="47"/>
    </row>
    <row r="1207" spans="2:10" ht="14.5">
      <c r="B1207" s="47" t="s">
        <v>9059</v>
      </c>
      <c r="C1207" s="47" t="s">
        <v>64</v>
      </c>
      <c r="D1207" s="47" t="s">
        <v>9058</v>
      </c>
      <c r="E1207" s="47"/>
      <c r="F1207" s="47" t="s">
        <v>7763</v>
      </c>
      <c r="G1207" s="364">
        <v>46059</v>
      </c>
      <c r="H1207" s="47" t="s">
        <v>7911</v>
      </c>
      <c r="I1207" s="47" t="s">
        <v>7765</v>
      </c>
      <c r="J1207" s="47"/>
    </row>
    <row r="1208" spans="2:10" ht="14.5">
      <c r="B1208" s="47" t="s">
        <v>4153</v>
      </c>
      <c r="C1208" s="47" t="s">
        <v>64</v>
      </c>
      <c r="D1208" s="47" t="s">
        <v>9141</v>
      </c>
      <c r="E1208" s="47"/>
      <c r="F1208" s="47" t="s">
        <v>7763</v>
      </c>
      <c r="G1208" s="364">
        <v>46056</v>
      </c>
      <c r="H1208" s="47" t="s">
        <v>7764</v>
      </c>
      <c r="I1208" s="47" t="s">
        <v>7765</v>
      </c>
      <c r="J1208" s="47" t="s">
        <v>4152</v>
      </c>
    </row>
    <row r="1209" spans="2:10" ht="14.5">
      <c r="B1209" s="47" t="s">
        <v>4120</v>
      </c>
      <c r="C1209" s="47" t="s">
        <v>64</v>
      </c>
      <c r="D1209" s="47" t="s">
        <v>9142</v>
      </c>
      <c r="E1209" s="47"/>
      <c r="F1209" s="47" t="s">
        <v>7763</v>
      </c>
      <c r="G1209" s="364">
        <v>46078</v>
      </c>
      <c r="H1209" s="47" t="s">
        <v>7764</v>
      </c>
      <c r="I1209" s="47" t="s">
        <v>7765</v>
      </c>
      <c r="J1209" s="47"/>
    </row>
    <row r="1210" spans="2:10" ht="14.5">
      <c r="B1210" s="47" t="s">
        <v>9049</v>
      </c>
      <c r="C1210" s="47" t="s">
        <v>64</v>
      </c>
      <c r="D1210" s="47" t="s">
        <v>9048</v>
      </c>
      <c r="E1210" s="47"/>
      <c r="F1210" s="47" t="s">
        <v>7763</v>
      </c>
      <c r="G1210" s="364">
        <v>46062</v>
      </c>
      <c r="H1210" s="47" t="s">
        <v>7911</v>
      </c>
      <c r="I1210" s="47" t="s">
        <v>7765</v>
      </c>
      <c r="J1210" s="47"/>
    </row>
    <row r="1211" spans="2:10" ht="14.5">
      <c r="B1211" s="47" t="s">
        <v>9051</v>
      </c>
      <c r="C1211" s="47" t="s">
        <v>64</v>
      </c>
      <c r="D1211" s="47" t="s">
        <v>9050</v>
      </c>
      <c r="E1211" s="47"/>
      <c r="F1211" s="47" t="s">
        <v>7763</v>
      </c>
      <c r="G1211" s="364">
        <v>46055</v>
      </c>
      <c r="H1211" s="47" t="s">
        <v>7911</v>
      </c>
      <c r="I1211" s="47" t="s">
        <v>7765</v>
      </c>
      <c r="J1211" s="47"/>
    </row>
    <row r="1212" spans="2:10" ht="14.5">
      <c r="B1212" s="47" t="s">
        <v>4211</v>
      </c>
      <c r="C1212" s="47" t="s">
        <v>64</v>
      </c>
      <c r="D1212" s="47" t="s">
        <v>9143</v>
      </c>
      <c r="E1212" s="47"/>
      <c r="F1212" s="47" t="s">
        <v>7763</v>
      </c>
      <c r="G1212" s="364">
        <v>46056</v>
      </c>
      <c r="H1212" s="47" t="s">
        <v>7764</v>
      </c>
      <c r="I1212" s="47" t="s">
        <v>7765</v>
      </c>
      <c r="J1212" s="47" t="s">
        <v>4210</v>
      </c>
    </row>
    <row r="1213" spans="2:10" ht="14.5">
      <c r="B1213" s="47" t="s">
        <v>3986</v>
      </c>
      <c r="C1213" s="47" t="s">
        <v>64</v>
      </c>
      <c r="D1213" s="47" t="s">
        <v>9144</v>
      </c>
      <c r="E1213" s="47"/>
      <c r="F1213" s="47" t="s">
        <v>7763</v>
      </c>
      <c r="G1213" s="364">
        <v>46071</v>
      </c>
      <c r="H1213" s="47" t="s">
        <v>7764</v>
      </c>
      <c r="I1213" s="47" t="s">
        <v>7765</v>
      </c>
      <c r="J1213" s="47"/>
    </row>
    <row r="1214" spans="2:10" ht="14.5">
      <c r="B1214" s="47" t="s">
        <v>9145</v>
      </c>
      <c r="C1214" s="47" t="s">
        <v>64</v>
      </c>
      <c r="D1214" s="47" t="s">
        <v>9126</v>
      </c>
      <c r="E1214" s="47"/>
      <c r="F1214" s="47" t="s">
        <v>7763</v>
      </c>
      <c r="G1214" s="364">
        <v>46048</v>
      </c>
      <c r="H1214" s="47" t="s">
        <v>7911</v>
      </c>
      <c r="I1214" s="47" t="s">
        <v>7765</v>
      </c>
      <c r="J1214" s="47"/>
    </row>
    <row r="1215" spans="2:10" ht="14.5">
      <c r="B1215" s="47" t="s">
        <v>9146</v>
      </c>
      <c r="C1215" s="47" t="s">
        <v>64</v>
      </c>
      <c r="D1215" s="47" t="s">
        <v>9125</v>
      </c>
      <c r="E1215" s="47"/>
      <c r="F1215" s="47" t="s">
        <v>7763</v>
      </c>
      <c r="G1215" s="364">
        <v>46059</v>
      </c>
      <c r="H1215" s="47" t="s">
        <v>7911</v>
      </c>
      <c r="I1215" s="47" t="s">
        <v>7765</v>
      </c>
      <c r="J1215" s="47"/>
    </row>
    <row r="1216" spans="2:10" ht="14.5">
      <c r="B1216" s="47" t="s">
        <v>9147</v>
      </c>
      <c r="C1216" s="47" t="s">
        <v>64</v>
      </c>
      <c r="D1216" s="47" t="s">
        <v>9127</v>
      </c>
      <c r="E1216" s="47"/>
      <c r="F1216" s="47" t="s">
        <v>7763</v>
      </c>
      <c r="G1216" s="364">
        <v>46041</v>
      </c>
      <c r="H1216" s="47" t="s">
        <v>7911</v>
      </c>
      <c r="I1216" s="47" t="s">
        <v>7765</v>
      </c>
      <c r="J1216" s="47"/>
    </row>
    <row r="1217" spans="2:10" ht="14.5">
      <c r="B1217" s="47" t="s">
        <v>4109</v>
      </c>
      <c r="C1217" s="47" t="s">
        <v>64</v>
      </c>
      <c r="D1217" s="47" t="s">
        <v>9148</v>
      </c>
      <c r="E1217" s="47"/>
      <c r="F1217" s="47" t="s">
        <v>7763</v>
      </c>
      <c r="G1217" s="364">
        <v>46043</v>
      </c>
      <c r="H1217" s="47" t="s">
        <v>7764</v>
      </c>
      <c r="I1217" s="47" t="s">
        <v>7765</v>
      </c>
      <c r="J1217" s="47"/>
    </row>
    <row r="1218" spans="2:10" ht="14.5">
      <c r="B1218" s="47" t="s">
        <v>9149</v>
      </c>
      <c r="C1218" s="47" t="s">
        <v>64</v>
      </c>
      <c r="D1218" s="47" t="s">
        <v>9150</v>
      </c>
      <c r="E1218" s="47"/>
      <c r="F1218" s="47" t="s">
        <v>7810</v>
      </c>
      <c r="G1218" s="364">
        <v>46045</v>
      </c>
      <c r="H1218" s="47" t="s">
        <v>7911</v>
      </c>
      <c r="I1218" s="47" t="s">
        <v>7765</v>
      </c>
      <c r="J1218" s="47"/>
    </row>
    <row r="1219" spans="2:10" ht="14.5">
      <c r="B1219" s="47" t="s">
        <v>9061</v>
      </c>
      <c r="C1219" s="47" t="s">
        <v>64</v>
      </c>
      <c r="D1219" s="47" t="s">
        <v>9060</v>
      </c>
      <c r="E1219" s="47"/>
      <c r="F1219" s="47" t="s">
        <v>7763</v>
      </c>
      <c r="G1219" s="364">
        <v>46042</v>
      </c>
      <c r="H1219" s="47" t="s">
        <v>7911</v>
      </c>
      <c r="I1219" s="47" t="s">
        <v>7765</v>
      </c>
      <c r="J1219" s="47"/>
    </row>
    <row r="1220" spans="2:10" ht="14.5">
      <c r="B1220" s="47" t="s">
        <v>3816</v>
      </c>
      <c r="C1220" s="47" t="s">
        <v>64</v>
      </c>
      <c r="D1220" s="47" t="s">
        <v>9151</v>
      </c>
      <c r="E1220" s="47"/>
      <c r="F1220" s="47" t="s">
        <v>7763</v>
      </c>
      <c r="G1220" s="364">
        <v>46052</v>
      </c>
      <c r="H1220" s="47" t="s">
        <v>7764</v>
      </c>
      <c r="I1220" s="47" t="s">
        <v>7765</v>
      </c>
      <c r="J1220" s="47"/>
    </row>
    <row r="1221" spans="2:10" ht="14.5">
      <c r="B1221" s="47" t="s">
        <v>3887</v>
      </c>
      <c r="C1221" s="47" t="s">
        <v>64</v>
      </c>
      <c r="D1221" s="47" t="s">
        <v>9152</v>
      </c>
      <c r="E1221" s="47"/>
      <c r="F1221" s="47" t="s">
        <v>7763</v>
      </c>
      <c r="G1221" s="364">
        <v>46030</v>
      </c>
      <c r="H1221" s="47" t="s">
        <v>7764</v>
      </c>
      <c r="I1221" s="47" t="s">
        <v>7765</v>
      </c>
      <c r="J1221" s="47"/>
    </row>
    <row r="1222" spans="2:10" ht="14.5">
      <c r="B1222" s="47" t="s">
        <v>4016</v>
      </c>
      <c r="C1222" s="47" t="s">
        <v>64</v>
      </c>
      <c r="D1222" s="47" t="s">
        <v>9153</v>
      </c>
      <c r="E1222" s="47"/>
      <c r="F1222" s="47" t="s">
        <v>7763</v>
      </c>
      <c r="G1222" s="364">
        <v>46056</v>
      </c>
      <c r="H1222" s="47" t="s">
        <v>7764</v>
      </c>
      <c r="I1222" s="47" t="s">
        <v>7765</v>
      </c>
      <c r="J1222" s="47"/>
    </row>
    <row r="1223" spans="2:10" ht="14.5">
      <c r="B1223" s="47" t="s">
        <v>9055</v>
      </c>
      <c r="C1223" s="47" t="s">
        <v>64</v>
      </c>
      <c r="D1223" s="47" t="s">
        <v>9054</v>
      </c>
      <c r="E1223" s="47"/>
      <c r="F1223" s="47" t="s">
        <v>7763</v>
      </c>
      <c r="G1223" s="364">
        <v>46043</v>
      </c>
      <c r="H1223" s="47" t="s">
        <v>7911</v>
      </c>
      <c r="I1223" s="47" t="s">
        <v>7765</v>
      </c>
      <c r="J1223" s="47"/>
    </row>
    <row r="1224" spans="2:10" ht="14.5">
      <c r="B1224" s="47" t="s">
        <v>9063</v>
      </c>
      <c r="C1224" s="47" t="s">
        <v>64</v>
      </c>
      <c r="D1224" s="47" t="s">
        <v>9062</v>
      </c>
      <c r="E1224" s="47"/>
      <c r="F1224" s="47" t="s">
        <v>7763</v>
      </c>
      <c r="G1224" s="364">
        <v>46043</v>
      </c>
      <c r="H1224" s="47" t="s">
        <v>7911</v>
      </c>
      <c r="I1224" s="47" t="s">
        <v>7765</v>
      </c>
      <c r="J1224" s="47"/>
    </row>
    <row r="1225" spans="2:10" ht="14.5">
      <c r="B1225" s="47" t="s">
        <v>3811</v>
      </c>
      <c r="C1225" s="47" t="s">
        <v>64</v>
      </c>
      <c r="D1225" s="47" t="s">
        <v>9154</v>
      </c>
      <c r="E1225" s="47"/>
      <c r="F1225" s="47" t="s">
        <v>7763</v>
      </c>
      <c r="G1225" s="364">
        <v>46050</v>
      </c>
      <c r="H1225" s="47" t="s">
        <v>7764</v>
      </c>
      <c r="I1225" s="47" t="s">
        <v>7765</v>
      </c>
      <c r="J1225" s="47"/>
    </row>
    <row r="1226" spans="2:10" ht="14.5">
      <c r="B1226" s="47" t="s">
        <v>3764</v>
      </c>
      <c r="C1226" s="47" t="s">
        <v>64</v>
      </c>
      <c r="D1226" s="47" t="s">
        <v>9155</v>
      </c>
      <c r="E1226" s="47"/>
      <c r="F1226" s="47" t="s">
        <v>7763</v>
      </c>
      <c r="G1226" s="364">
        <v>46045</v>
      </c>
      <c r="H1226" s="47" t="s">
        <v>7764</v>
      </c>
      <c r="I1226" s="47" t="s">
        <v>7765</v>
      </c>
      <c r="J1226" s="47"/>
    </row>
    <row r="1227" spans="2:10" ht="14.5">
      <c r="B1227" s="47" t="s">
        <v>3832</v>
      </c>
      <c r="C1227" s="47" t="s">
        <v>64</v>
      </c>
      <c r="D1227" s="47" t="s">
        <v>9156</v>
      </c>
      <c r="E1227" s="47"/>
      <c r="F1227" s="47" t="s">
        <v>7763</v>
      </c>
      <c r="G1227" s="364">
        <v>46035</v>
      </c>
      <c r="H1227" s="47" t="s">
        <v>7764</v>
      </c>
      <c r="I1227" s="47" t="s">
        <v>7765</v>
      </c>
      <c r="J1227" s="47"/>
    </row>
    <row r="1228" spans="2:10" ht="14.5">
      <c r="B1228" s="47" t="s">
        <v>3827</v>
      </c>
      <c r="C1228" s="47" t="s">
        <v>64</v>
      </c>
      <c r="D1228" s="47" t="s">
        <v>9157</v>
      </c>
      <c r="E1228" s="47"/>
      <c r="F1228" s="47" t="s">
        <v>7763</v>
      </c>
      <c r="G1228" s="364">
        <v>46032</v>
      </c>
      <c r="H1228" s="47" t="s">
        <v>7764</v>
      </c>
      <c r="I1228" s="47" t="s">
        <v>7765</v>
      </c>
      <c r="J1228" s="47"/>
    </row>
    <row r="1229" spans="2:10" ht="14.5">
      <c r="B1229" s="47" t="s">
        <v>9158</v>
      </c>
      <c r="C1229" s="47" t="s">
        <v>7761</v>
      </c>
      <c r="D1229" s="47" t="s">
        <v>9122</v>
      </c>
      <c r="E1229" s="47"/>
      <c r="F1229" s="47" t="s">
        <v>7763</v>
      </c>
      <c r="G1229" s="364">
        <v>46079</v>
      </c>
      <c r="H1229" s="47" t="s">
        <v>7911</v>
      </c>
      <c r="I1229" s="47" t="s">
        <v>7765</v>
      </c>
      <c r="J1229" s="47"/>
    </row>
    <row r="1230" spans="2:10" ht="14.5">
      <c r="B1230" s="47" t="s">
        <v>9159</v>
      </c>
      <c r="C1230" s="47" t="s">
        <v>7761</v>
      </c>
      <c r="D1230" s="47" t="s">
        <v>9123</v>
      </c>
      <c r="E1230" s="47"/>
      <c r="F1230" s="47" t="s">
        <v>7763</v>
      </c>
      <c r="G1230" s="364">
        <v>46086</v>
      </c>
      <c r="H1230" s="47" t="s">
        <v>7911</v>
      </c>
      <c r="I1230" s="47" t="s">
        <v>7765</v>
      </c>
      <c r="J1230" s="47"/>
    </row>
    <row r="1231" spans="2:10" ht="14.5">
      <c r="B1231" s="47" t="s">
        <v>9160</v>
      </c>
      <c r="C1231" s="47" t="s">
        <v>7761</v>
      </c>
      <c r="D1231" s="47" t="s">
        <v>9124</v>
      </c>
      <c r="E1231" s="47"/>
      <c r="F1231" s="47" t="s">
        <v>7763</v>
      </c>
      <c r="G1231" s="364">
        <v>46086</v>
      </c>
      <c r="H1231" s="47" t="s">
        <v>7911</v>
      </c>
      <c r="I1231" s="47" t="s">
        <v>7765</v>
      </c>
      <c r="J1231" s="47"/>
    </row>
    <row r="1232" spans="2:10" ht="14.5">
      <c r="B1232" s="47" t="s">
        <v>9161</v>
      </c>
      <c r="C1232" s="47" t="s">
        <v>64</v>
      </c>
      <c r="D1232" s="47">
        <v>371008976</v>
      </c>
      <c r="E1232" s="47"/>
      <c r="F1232" s="47" t="s">
        <v>7763</v>
      </c>
      <c r="G1232" s="364">
        <v>46028</v>
      </c>
      <c r="H1232" s="47" t="s">
        <v>7911</v>
      </c>
      <c r="I1232" s="47" t="s">
        <v>7765</v>
      </c>
      <c r="J1232" s="47"/>
    </row>
    <row r="1233" spans="2:10" ht="14.5">
      <c r="B1233" s="47" t="s">
        <v>3755</v>
      </c>
      <c r="C1233" s="47" t="s">
        <v>64</v>
      </c>
      <c r="D1233" s="47" t="s">
        <v>9162</v>
      </c>
      <c r="E1233" s="47"/>
      <c r="F1233" s="47" t="s">
        <v>7763</v>
      </c>
      <c r="G1233" s="364">
        <v>46057</v>
      </c>
      <c r="H1233" s="47" t="s">
        <v>7764</v>
      </c>
      <c r="I1233" s="47" t="s">
        <v>7765</v>
      </c>
      <c r="J1233" s="47"/>
    </row>
    <row r="1234" spans="2:10" ht="14.5">
      <c r="B1234" s="47" t="s">
        <v>3747</v>
      </c>
      <c r="C1234" s="47" t="s">
        <v>64</v>
      </c>
      <c r="D1234" s="47" t="s">
        <v>9163</v>
      </c>
      <c r="E1234" s="47"/>
      <c r="F1234" s="47" t="s">
        <v>7763</v>
      </c>
      <c r="G1234" s="364">
        <v>46057</v>
      </c>
      <c r="H1234" s="47" t="s">
        <v>7764</v>
      </c>
      <c r="I1234" s="47" t="s">
        <v>7765</v>
      </c>
      <c r="J1234" s="47"/>
    </row>
    <row r="1235" spans="2:10" ht="14.5">
      <c r="B1235" s="47" t="s">
        <v>9164</v>
      </c>
      <c r="C1235" s="47" t="s">
        <v>64</v>
      </c>
      <c r="D1235" s="47">
        <v>371009123</v>
      </c>
      <c r="E1235" s="47"/>
      <c r="F1235" s="47" t="s">
        <v>7763</v>
      </c>
      <c r="G1235" s="364">
        <v>46034</v>
      </c>
      <c r="H1235" s="47" t="s">
        <v>8314</v>
      </c>
      <c r="I1235" s="47" t="s">
        <v>7765</v>
      </c>
      <c r="J1235" s="47"/>
    </row>
    <row r="1236" spans="2:10" ht="14.5">
      <c r="B1236" s="47" t="s">
        <v>9165</v>
      </c>
      <c r="C1236" s="47" t="s">
        <v>64</v>
      </c>
      <c r="D1236" s="47">
        <v>371009111</v>
      </c>
      <c r="E1236" s="47"/>
      <c r="F1236" s="47" t="s">
        <v>7763</v>
      </c>
      <c r="G1236" s="364">
        <v>46035</v>
      </c>
      <c r="H1236" s="47" t="s">
        <v>7911</v>
      </c>
      <c r="I1236" s="47" t="s">
        <v>7765</v>
      </c>
      <c r="J1236" s="47"/>
    </row>
    <row r="1237" spans="2:10" ht="14.5">
      <c r="B1237" s="47" t="s">
        <v>9166</v>
      </c>
      <c r="C1237" s="47" t="s">
        <v>64</v>
      </c>
      <c r="D1237" s="47">
        <v>371009099</v>
      </c>
      <c r="E1237" s="47"/>
      <c r="F1237" s="47" t="s">
        <v>7810</v>
      </c>
      <c r="G1237" s="364">
        <v>46026</v>
      </c>
      <c r="H1237" s="47" t="s">
        <v>7764</v>
      </c>
      <c r="I1237" s="47" t="s">
        <v>7765</v>
      </c>
      <c r="J1237" s="47"/>
    </row>
    <row r="1238" spans="2:10" ht="14.5">
      <c r="B1238" s="47" t="s">
        <v>3728</v>
      </c>
      <c r="C1238" s="47" t="s">
        <v>64</v>
      </c>
      <c r="D1238" s="47">
        <v>371009080</v>
      </c>
      <c r="E1238" s="47"/>
      <c r="F1238" s="47" t="s">
        <v>7763</v>
      </c>
      <c r="G1238" s="364">
        <v>46028</v>
      </c>
      <c r="H1238" s="47" t="s">
        <v>7764</v>
      </c>
      <c r="I1238" s="47" t="s">
        <v>7765</v>
      </c>
      <c r="J1238" s="47"/>
    </row>
    <row r="1239" spans="2:10" ht="14.5">
      <c r="B1239" s="47" t="s">
        <v>3663</v>
      </c>
      <c r="C1239" s="47" t="s">
        <v>64</v>
      </c>
      <c r="D1239" s="47">
        <v>371009078</v>
      </c>
      <c r="E1239" s="47"/>
      <c r="F1239" s="47" t="s">
        <v>7763</v>
      </c>
      <c r="G1239" s="364">
        <v>46057</v>
      </c>
      <c r="H1239" s="47" t="s">
        <v>7764</v>
      </c>
      <c r="I1239" s="47" t="s">
        <v>7765</v>
      </c>
      <c r="J1239" s="47"/>
    </row>
    <row r="1240" spans="2:10" ht="14.5">
      <c r="B1240" s="47" t="s">
        <v>3717</v>
      </c>
      <c r="C1240" s="47" t="s">
        <v>64</v>
      </c>
      <c r="D1240" s="47">
        <v>371009077</v>
      </c>
      <c r="E1240" s="47"/>
      <c r="F1240" s="47" t="s">
        <v>7763</v>
      </c>
      <c r="G1240" s="364">
        <v>46028</v>
      </c>
      <c r="H1240" s="47" t="s">
        <v>7764</v>
      </c>
      <c r="I1240" s="47" t="s">
        <v>7765</v>
      </c>
      <c r="J1240" s="47"/>
    </row>
    <row r="1241" spans="2:10" ht="14.5">
      <c r="B1241" s="47" t="s">
        <v>3735</v>
      </c>
      <c r="C1241" s="47" t="s">
        <v>64</v>
      </c>
      <c r="D1241" s="47">
        <v>371009076</v>
      </c>
      <c r="E1241" s="47"/>
      <c r="F1241" s="47" t="s">
        <v>7763</v>
      </c>
      <c r="G1241" s="364">
        <v>46029</v>
      </c>
      <c r="H1241" s="47" t="s">
        <v>7764</v>
      </c>
      <c r="I1241" s="47" t="s">
        <v>7765</v>
      </c>
      <c r="J1241" s="47"/>
    </row>
    <row r="1242" spans="2:10" ht="14.5">
      <c r="B1242" s="47" t="s">
        <v>3730</v>
      </c>
      <c r="C1242" s="47" t="s">
        <v>64</v>
      </c>
      <c r="D1242" s="47">
        <v>371009075</v>
      </c>
      <c r="E1242" s="47"/>
      <c r="F1242" s="47" t="s">
        <v>7763</v>
      </c>
      <c r="G1242" s="364">
        <v>46029</v>
      </c>
      <c r="H1242" s="47" t="s">
        <v>7764</v>
      </c>
      <c r="I1242" s="47" t="s">
        <v>7765</v>
      </c>
      <c r="J1242" s="47"/>
    </row>
    <row r="1243" spans="2:10" ht="14.5">
      <c r="B1243" s="47" t="s">
        <v>3737</v>
      </c>
      <c r="C1243" s="47" t="s">
        <v>64</v>
      </c>
      <c r="D1243" s="47">
        <v>371009074</v>
      </c>
      <c r="E1243" s="47"/>
      <c r="F1243" s="47" t="s">
        <v>7763</v>
      </c>
      <c r="G1243" s="364">
        <v>46029</v>
      </c>
      <c r="H1243" s="47" t="s">
        <v>7764</v>
      </c>
      <c r="I1243" s="47" t="s">
        <v>7765</v>
      </c>
      <c r="J1243" s="47"/>
    </row>
    <row r="1244" spans="2:10" ht="14.5">
      <c r="B1244" s="47" t="s">
        <v>3708</v>
      </c>
      <c r="C1244" s="47" t="s">
        <v>64</v>
      </c>
      <c r="D1244" s="47">
        <v>371009072</v>
      </c>
      <c r="E1244" s="47"/>
      <c r="F1244" s="47" t="s">
        <v>7763</v>
      </c>
      <c r="G1244" s="364">
        <v>46028</v>
      </c>
      <c r="H1244" s="47" t="s">
        <v>7764</v>
      </c>
      <c r="I1244" s="47" t="s">
        <v>7765</v>
      </c>
      <c r="J1244" s="47"/>
    </row>
    <row r="1245" spans="2:10" ht="14.5">
      <c r="B1245" s="47" t="s">
        <v>3703</v>
      </c>
      <c r="C1245" s="47" t="s">
        <v>64</v>
      </c>
      <c r="D1245" s="47">
        <v>371009071</v>
      </c>
      <c r="E1245" s="47"/>
      <c r="F1245" s="47" t="s">
        <v>7763</v>
      </c>
      <c r="G1245" s="364">
        <v>46033</v>
      </c>
      <c r="H1245" s="47" t="s">
        <v>7764</v>
      </c>
      <c r="I1245" s="47" t="s">
        <v>7765</v>
      </c>
      <c r="J1245" s="47"/>
    </row>
    <row r="1246" spans="2:10" ht="14.5">
      <c r="B1246" s="47" t="s">
        <v>3712</v>
      </c>
      <c r="C1246" s="47" t="s">
        <v>64</v>
      </c>
      <c r="D1246" s="47">
        <v>371009070</v>
      </c>
      <c r="E1246" s="47"/>
      <c r="F1246" s="47" t="s">
        <v>7763</v>
      </c>
      <c r="G1246" s="364">
        <v>46035</v>
      </c>
      <c r="H1246" s="47" t="s">
        <v>7764</v>
      </c>
      <c r="I1246" s="47" t="s">
        <v>7765</v>
      </c>
      <c r="J1246" s="47"/>
    </row>
    <row r="1247" spans="2:10" ht="14.5">
      <c r="B1247" s="47" t="s">
        <v>3724</v>
      </c>
      <c r="C1247" s="47" t="s">
        <v>64</v>
      </c>
      <c r="D1247" s="47">
        <v>371009069</v>
      </c>
      <c r="E1247" s="47"/>
      <c r="F1247" s="47" t="s">
        <v>7763</v>
      </c>
      <c r="G1247" s="364">
        <v>46031</v>
      </c>
      <c r="H1247" s="47" t="s">
        <v>7764</v>
      </c>
      <c r="I1247" s="47" t="s">
        <v>7765</v>
      </c>
      <c r="J1247" s="47"/>
    </row>
    <row r="1248" spans="2:10" ht="14.5">
      <c r="B1248" s="47" t="s">
        <v>3722</v>
      </c>
      <c r="C1248" s="47" t="s">
        <v>64</v>
      </c>
      <c r="D1248" s="47">
        <v>371009067</v>
      </c>
      <c r="E1248" s="47"/>
      <c r="F1248" s="47" t="s">
        <v>7763</v>
      </c>
      <c r="G1248" s="364">
        <v>46028</v>
      </c>
      <c r="H1248" s="47" t="s">
        <v>7764</v>
      </c>
      <c r="I1248" s="47" t="s">
        <v>7765</v>
      </c>
      <c r="J1248" s="47"/>
    </row>
    <row r="1249" spans="2:10" ht="14.5">
      <c r="B1249" s="47" t="s">
        <v>3671</v>
      </c>
      <c r="C1249" s="47" t="s">
        <v>64</v>
      </c>
      <c r="D1249" s="47">
        <v>371009065</v>
      </c>
      <c r="E1249" s="47"/>
      <c r="F1249" s="47" t="s">
        <v>7763</v>
      </c>
      <c r="G1249" s="364">
        <v>46059</v>
      </c>
      <c r="H1249" s="47" t="s">
        <v>7764</v>
      </c>
      <c r="I1249" s="47" t="s">
        <v>7765</v>
      </c>
      <c r="J1249" s="47"/>
    </row>
    <row r="1250" spans="2:10" ht="14.5">
      <c r="B1250" s="47" t="s">
        <v>3599</v>
      </c>
      <c r="C1250" s="47" t="s">
        <v>64</v>
      </c>
      <c r="D1250" s="47">
        <v>371009039</v>
      </c>
      <c r="E1250" s="47"/>
      <c r="F1250" s="47" t="s">
        <v>7763</v>
      </c>
      <c r="G1250" s="364">
        <v>46035</v>
      </c>
      <c r="H1250" s="47" t="s">
        <v>7764</v>
      </c>
      <c r="I1250" s="47" t="s">
        <v>7765</v>
      </c>
      <c r="J1250" s="47"/>
    </row>
    <row r="1251" spans="2:10" ht="14.5">
      <c r="B1251" s="47" t="s">
        <v>3673</v>
      </c>
      <c r="C1251" s="47" t="s">
        <v>64</v>
      </c>
      <c r="D1251" s="47">
        <v>371009034</v>
      </c>
      <c r="E1251" s="47"/>
      <c r="F1251" s="47" t="s">
        <v>7763</v>
      </c>
      <c r="G1251" s="364">
        <v>46029</v>
      </c>
      <c r="H1251" s="47" t="s">
        <v>7764</v>
      </c>
      <c r="I1251" s="47" t="s">
        <v>7765</v>
      </c>
      <c r="J1251" s="47"/>
    </row>
    <row r="1252" spans="2:10" ht="14.5">
      <c r="B1252" s="47" t="s">
        <v>3658</v>
      </c>
      <c r="C1252" s="47" t="s">
        <v>64</v>
      </c>
      <c r="D1252" s="47">
        <v>371009030</v>
      </c>
      <c r="E1252" s="47"/>
      <c r="F1252" s="47" t="s">
        <v>7763</v>
      </c>
      <c r="G1252" s="364">
        <v>46035</v>
      </c>
      <c r="H1252" s="47" t="s">
        <v>7764</v>
      </c>
      <c r="I1252" s="47" t="s">
        <v>7765</v>
      </c>
      <c r="J1252" s="47"/>
    </row>
    <row r="1253" spans="2:10" ht="14.5">
      <c r="B1253" s="47" t="s">
        <v>3697</v>
      </c>
      <c r="C1253" s="47" t="s">
        <v>64</v>
      </c>
      <c r="D1253" s="47">
        <v>371009026</v>
      </c>
      <c r="E1253" s="47"/>
      <c r="F1253" s="47" t="s">
        <v>7763</v>
      </c>
      <c r="G1253" s="364">
        <v>46045</v>
      </c>
      <c r="H1253" s="47" t="s">
        <v>7764</v>
      </c>
      <c r="I1253" s="47" t="s">
        <v>7765</v>
      </c>
      <c r="J1253" s="47"/>
    </row>
    <row r="1254" spans="2:10" ht="14.5">
      <c r="B1254" s="47" t="s">
        <v>3700</v>
      </c>
      <c r="C1254" s="47" t="s">
        <v>64</v>
      </c>
      <c r="D1254" s="47">
        <v>371009024</v>
      </c>
      <c r="E1254" s="47"/>
      <c r="F1254" s="47" t="s">
        <v>7763</v>
      </c>
      <c r="G1254" s="364">
        <v>46050</v>
      </c>
      <c r="H1254" s="47" t="s">
        <v>7764</v>
      </c>
      <c r="I1254" s="47" t="s">
        <v>7765</v>
      </c>
      <c r="J1254" s="47"/>
    </row>
    <row r="1255" spans="2:10" ht="14.5">
      <c r="B1255" s="47" t="s">
        <v>3525</v>
      </c>
      <c r="C1255" s="47" t="s">
        <v>64</v>
      </c>
      <c r="D1255" s="47">
        <v>371009011</v>
      </c>
      <c r="E1255" s="47"/>
      <c r="F1255" s="47" t="s">
        <v>7763</v>
      </c>
      <c r="G1255" s="364">
        <v>46052</v>
      </c>
      <c r="H1255" s="47" t="s">
        <v>7764</v>
      </c>
      <c r="I1255" s="47" t="s">
        <v>7765</v>
      </c>
      <c r="J1255" s="47"/>
    </row>
    <row r="1256" spans="2:10" ht="14.5">
      <c r="B1256" s="47" t="s">
        <v>3617</v>
      </c>
      <c r="C1256" s="47" t="s">
        <v>64</v>
      </c>
      <c r="D1256" s="47">
        <v>371009010</v>
      </c>
      <c r="E1256" s="47"/>
      <c r="F1256" s="47" t="s">
        <v>7763</v>
      </c>
      <c r="G1256" s="364">
        <v>46045</v>
      </c>
      <c r="H1256" s="47" t="s">
        <v>7764</v>
      </c>
      <c r="I1256" s="47" t="s">
        <v>7765</v>
      </c>
      <c r="J1256" s="47"/>
    </row>
    <row r="1257" spans="2:10" ht="14.5">
      <c r="B1257" s="47" t="s">
        <v>3544</v>
      </c>
      <c r="C1257" s="47" t="s">
        <v>64</v>
      </c>
      <c r="D1257" s="47">
        <v>371009009</v>
      </c>
      <c r="E1257" s="47"/>
      <c r="F1257" s="47" t="s">
        <v>7763</v>
      </c>
      <c r="G1257" s="364">
        <v>46052</v>
      </c>
      <c r="H1257" s="47" t="s">
        <v>7764</v>
      </c>
      <c r="I1257" s="47" t="s">
        <v>7765</v>
      </c>
      <c r="J1257" s="47"/>
    </row>
    <row r="1258" spans="2:10" ht="14.5">
      <c r="B1258" s="47" t="s">
        <v>3526</v>
      </c>
      <c r="C1258" s="47" t="s">
        <v>64</v>
      </c>
      <c r="D1258" s="47">
        <v>371009007</v>
      </c>
      <c r="E1258" s="47"/>
      <c r="F1258" s="47" t="s">
        <v>7763</v>
      </c>
      <c r="G1258" s="364">
        <v>46052</v>
      </c>
      <c r="H1258" s="47" t="s">
        <v>7764</v>
      </c>
      <c r="I1258" s="47" t="s">
        <v>7765</v>
      </c>
      <c r="J1258" s="47"/>
    </row>
    <row r="1259" spans="2:10" ht="14.5">
      <c r="B1259" s="47" t="s">
        <v>3520</v>
      </c>
      <c r="C1259" s="47" t="s">
        <v>64</v>
      </c>
      <c r="D1259" s="47">
        <v>371009002</v>
      </c>
      <c r="E1259" s="47"/>
      <c r="F1259" s="47" t="s">
        <v>7763</v>
      </c>
      <c r="G1259" s="364">
        <v>46052</v>
      </c>
      <c r="H1259" s="47" t="s">
        <v>7764</v>
      </c>
      <c r="I1259" s="47" t="s">
        <v>7765</v>
      </c>
      <c r="J1259" s="47"/>
    </row>
    <row r="1260" spans="2:10" ht="14.5">
      <c r="B1260" s="47" t="s">
        <v>3494</v>
      </c>
      <c r="C1260" s="47" t="s">
        <v>64</v>
      </c>
      <c r="D1260" s="47">
        <v>371008986</v>
      </c>
      <c r="E1260" s="47"/>
      <c r="F1260" s="47" t="s">
        <v>7763</v>
      </c>
      <c r="G1260" s="364">
        <v>46026</v>
      </c>
      <c r="H1260" s="47" t="s">
        <v>7764</v>
      </c>
      <c r="I1260" s="47" t="s">
        <v>7765</v>
      </c>
      <c r="J1260" s="47"/>
    </row>
    <row r="1261" spans="2:10" ht="14.5">
      <c r="B1261" s="47" t="s">
        <v>3499</v>
      </c>
      <c r="C1261" s="47" t="s">
        <v>64</v>
      </c>
      <c r="D1261" s="47">
        <v>371008985</v>
      </c>
      <c r="E1261" s="47"/>
      <c r="F1261" s="47" t="s">
        <v>7763</v>
      </c>
      <c r="G1261" s="364">
        <v>46026</v>
      </c>
      <c r="H1261" s="47" t="s">
        <v>7764</v>
      </c>
      <c r="I1261" s="47" t="s">
        <v>7765</v>
      </c>
      <c r="J1261" s="47"/>
    </row>
    <row r="1262" spans="2:10" ht="14.5">
      <c r="B1262" s="47" t="s">
        <v>9167</v>
      </c>
      <c r="C1262" s="47" t="s">
        <v>64</v>
      </c>
      <c r="D1262" s="47">
        <v>371008890</v>
      </c>
      <c r="E1262" s="47"/>
      <c r="F1262" s="47" t="s">
        <v>7763</v>
      </c>
      <c r="G1262" s="364">
        <v>46026</v>
      </c>
      <c r="H1262" s="47" t="s">
        <v>8314</v>
      </c>
      <c r="I1262" s="47" t="s">
        <v>7765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9168</v>
      </c>
      <c r="B1" s="231" t="s">
        <v>9169</v>
      </c>
      <c r="C1" s="42" t="s">
        <v>9170</v>
      </c>
      <c r="D1" s="42" t="s">
        <v>9171</v>
      </c>
      <c r="E1" s="43" t="s">
        <v>9172</v>
      </c>
      <c r="F1" s="44" t="s">
        <v>9173</v>
      </c>
      <c r="G1" s="44" t="s">
        <v>9174</v>
      </c>
      <c r="H1" s="44" t="s">
        <v>9175</v>
      </c>
      <c r="I1" s="44" t="s">
        <v>9176</v>
      </c>
      <c r="J1" s="45" t="s">
        <v>9177</v>
      </c>
      <c r="K1" s="45" t="s">
        <v>15</v>
      </c>
      <c r="L1" s="45" t="s">
        <v>2497</v>
      </c>
      <c r="M1" s="45" t="s">
        <v>2498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2534</v>
      </c>
      <c r="C2" s="229" t="s">
        <v>9178</v>
      </c>
      <c r="D2" s="229"/>
      <c r="E2" s="180" t="s">
        <v>402</v>
      </c>
      <c r="F2" s="180" t="s">
        <v>9179</v>
      </c>
      <c r="G2" s="180" t="s">
        <v>9180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594</v>
      </c>
      <c r="D8" s="186"/>
      <c r="E8" s="180"/>
      <c r="F8" s="187" t="s">
        <v>9181</v>
      </c>
      <c r="G8" s="180" t="s">
        <v>9180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9182</v>
      </c>
      <c r="Q8" s="12">
        <v>40</v>
      </c>
      <c r="R8" s="12">
        <v>2</v>
      </c>
      <c r="S8">
        <v>1</v>
      </c>
      <c r="T8" t="s">
        <v>9183</v>
      </c>
    </row>
    <row r="9" spans="1:20">
      <c r="A9" s="179"/>
      <c r="B9" s="264" t="s">
        <v>2534</v>
      </c>
      <c r="C9" s="186" t="s">
        <v>594</v>
      </c>
      <c r="D9" s="186"/>
      <c r="E9" s="180"/>
      <c r="F9" s="187"/>
      <c r="G9" s="180" t="s">
        <v>9180</v>
      </c>
      <c r="H9" s="13" t="s">
        <v>124</v>
      </c>
      <c r="I9" s="179"/>
      <c r="J9" s="12" t="s">
        <v>132</v>
      </c>
      <c r="K9" s="12" t="s">
        <v>2925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9184</v>
      </c>
    </row>
    <row r="10" spans="1:20">
      <c r="A10" s="179"/>
      <c r="B10" s="264" t="s">
        <v>9185</v>
      </c>
      <c r="C10" s="186" t="s">
        <v>594</v>
      </c>
      <c r="D10" s="186"/>
      <c r="E10" s="180"/>
      <c r="F10" s="187"/>
      <c r="G10" s="180" t="s">
        <v>9180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9186</v>
      </c>
    </row>
    <row r="11" spans="1:20">
      <c r="A11" s="179"/>
      <c r="B11" s="264" t="s">
        <v>2534</v>
      </c>
      <c r="C11" s="186" t="s">
        <v>9187</v>
      </c>
      <c r="D11" s="186"/>
      <c r="E11" s="180" t="s">
        <v>9188</v>
      </c>
      <c r="F11" s="188" t="s">
        <v>9189</v>
      </c>
      <c r="G11" s="180" t="s">
        <v>9190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9191</v>
      </c>
      <c r="C12" s="186" t="s">
        <v>9187</v>
      </c>
      <c r="D12" s="186"/>
      <c r="E12" s="180" t="s">
        <v>9188</v>
      </c>
      <c r="F12" s="189" t="s">
        <v>9192</v>
      </c>
      <c r="G12" s="190" t="s">
        <v>9190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9193</v>
      </c>
      <c r="C16" s="147" t="s">
        <v>9194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9195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9178</v>
      </c>
      <c r="D20" s="147"/>
      <c r="E20" s="180" t="s">
        <v>402</v>
      </c>
      <c r="F20" s="180" t="s">
        <v>9196</v>
      </c>
      <c r="G20" s="180" t="s">
        <v>9180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9197</v>
      </c>
      <c r="C22" s="147" t="s">
        <v>1401</v>
      </c>
      <c r="D22" s="147"/>
      <c r="E22" s="180" t="s">
        <v>156</v>
      </c>
      <c r="F22" s="180" t="s">
        <v>9198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9199</v>
      </c>
      <c r="C24" s="147" t="s">
        <v>9200</v>
      </c>
      <c r="D24" s="147"/>
      <c r="E24" s="180" t="s">
        <v>9201</v>
      </c>
      <c r="F24" s="180" t="s">
        <v>9202</v>
      </c>
      <c r="G24" s="180" t="s">
        <v>9203</v>
      </c>
      <c r="H24" s="147" t="s">
        <v>9204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9205</v>
      </c>
      <c r="C26" s="147" t="s">
        <v>538</v>
      </c>
      <c r="D26" s="147"/>
      <c r="E26" s="180" t="s">
        <v>9206</v>
      </c>
      <c r="F26" s="180" t="s">
        <v>9207</v>
      </c>
      <c r="G26" s="180" t="s">
        <v>9180</v>
      </c>
      <c r="H26" s="180" t="s">
        <v>541</v>
      </c>
      <c r="I26" s="179"/>
    </row>
    <row r="27" spans="1:18">
      <c r="A27" s="180"/>
      <c r="B27" s="263" t="s">
        <v>9205</v>
      </c>
      <c r="C27" s="180"/>
      <c r="D27" s="180"/>
      <c r="E27" s="180"/>
      <c r="F27" s="180" t="s">
        <v>9208</v>
      </c>
      <c r="G27" s="180" t="s">
        <v>9209</v>
      </c>
      <c r="H27" s="180"/>
      <c r="I27" s="179"/>
    </row>
    <row r="28" spans="1:18">
      <c r="A28" s="180"/>
      <c r="B28" s="263" t="s">
        <v>9205</v>
      </c>
      <c r="C28" s="180"/>
      <c r="D28" s="180"/>
      <c r="E28" s="180"/>
      <c r="F28" s="180" t="s">
        <v>9210</v>
      </c>
      <c r="G28" s="180"/>
      <c r="H28" s="180"/>
      <c r="I28" s="179"/>
    </row>
    <row r="33" spans="1:19">
      <c r="A33" s="233">
        <v>46058</v>
      </c>
      <c r="B33" s="266" t="s">
        <v>9211</v>
      </c>
      <c r="C33" s="147" t="s">
        <v>9212</v>
      </c>
      <c r="D33" s="147"/>
      <c r="E33" s="180" t="s">
        <v>402</v>
      </c>
      <c r="F33" s="180" t="s">
        <v>9213</v>
      </c>
      <c r="G33" s="180"/>
      <c r="H33" s="180" t="s">
        <v>9204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9214</v>
      </c>
      <c r="C34" s="147" t="s">
        <v>9215</v>
      </c>
      <c r="D34" s="147"/>
      <c r="E34" s="180" t="s">
        <v>402</v>
      </c>
      <c r="F34" s="180" t="s">
        <v>9213</v>
      </c>
      <c r="G34" s="180"/>
      <c r="H34" s="180" t="s">
        <v>9204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9216</v>
      </c>
      <c r="C36" s="147" t="s">
        <v>883</v>
      </c>
      <c r="D36" s="147"/>
      <c r="E36" s="180" t="s">
        <v>402</v>
      </c>
      <c r="F36" s="180" t="s">
        <v>9217</v>
      </c>
      <c r="G36" s="180" t="s">
        <v>9180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9218</v>
      </c>
    </row>
    <row r="39" spans="1:19" ht="39">
      <c r="A39" s="233">
        <v>46077</v>
      </c>
      <c r="B39" s="267" t="s">
        <v>9219</v>
      </c>
      <c r="C39" s="147" t="s">
        <v>9220</v>
      </c>
      <c r="D39" s="147"/>
      <c r="E39" s="147" t="s">
        <v>402</v>
      </c>
      <c r="F39" s="180" t="s">
        <v>9221</v>
      </c>
      <c r="G39" s="180" t="s">
        <v>9180</v>
      </c>
      <c r="H39" s="180" t="s">
        <v>9222</v>
      </c>
    </row>
    <row r="41" spans="1:19">
      <c r="A41" s="233">
        <v>46078</v>
      </c>
      <c r="B41" s="263" t="s">
        <v>9223</v>
      </c>
      <c r="C41" s="147" t="s">
        <v>9224</v>
      </c>
      <c r="D41" s="147"/>
      <c r="E41" s="147" t="s">
        <v>402</v>
      </c>
      <c r="F41" s="180" t="s">
        <v>9225</v>
      </c>
    </row>
    <row r="56" spans="1:35" ht="40.5">
      <c r="A56" s="233">
        <v>46078</v>
      </c>
      <c r="B56" s="267" t="s">
        <v>9226</v>
      </c>
      <c r="C56" s="147" t="s">
        <v>9227</v>
      </c>
      <c r="D56" s="147" t="s">
        <v>9228</v>
      </c>
      <c r="E56" s="147" t="s">
        <v>9188</v>
      </c>
      <c r="F56" s="274" t="s">
        <v>9229</v>
      </c>
      <c r="G56" s="180" t="s">
        <v>9209</v>
      </c>
      <c r="H56" s="180" t="s">
        <v>9222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9230</v>
      </c>
      <c r="C58" s="147" t="s">
        <v>9231</v>
      </c>
      <c r="D58" s="147"/>
      <c r="E58" s="147" t="s">
        <v>9188</v>
      </c>
      <c r="F58" s="252" t="s">
        <v>9232</v>
      </c>
      <c r="G58" s="180" t="s">
        <v>9209</v>
      </c>
      <c r="H58" s="180" t="s">
        <v>9222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9233</v>
      </c>
      <c r="C60" s="147" t="s">
        <v>9234</v>
      </c>
      <c r="D60" s="147"/>
      <c r="E60" s="147" t="s">
        <v>402</v>
      </c>
      <c r="F60" s="180" t="s">
        <v>9235</v>
      </c>
      <c r="G60" s="180" t="s">
        <v>9209</v>
      </c>
      <c r="H60" s="180" t="s">
        <v>9222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9236</v>
      </c>
      <c r="C62" s="147" t="s">
        <v>9237</v>
      </c>
      <c r="D62" s="147"/>
      <c r="E62" s="147" t="s">
        <v>9238</v>
      </c>
      <c r="F62" s="180" t="s">
        <v>9239</v>
      </c>
      <c r="G62" s="180" t="s">
        <v>9180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9240</v>
      </c>
    </row>
    <row r="64" spans="1:35">
      <c r="A64" s="233">
        <v>46092</v>
      </c>
      <c r="B64" s="263"/>
      <c r="C64" s="147" t="s">
        <v>9241</v>
      </c>
      <c r="D64" s="147"/>
      <c r="E64" s="147"/>
      <c r="F64" s="180" t="s">
        <v>9242</v>
      </c>
      <c r="G64" s="180" t="s">
        <v>9180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5943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9243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5943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9243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9244</v>
      </c>
    </row>
    <row r="69" spans="1:35" ht="14">
      <c r="A69" s="233">
        <v>46299</v>
      </c>
      <c r="B69" s="263"/>
      <c r="C69" s="147" t="s">
        <v>9245</v>
      </c>
      <c r="D69" s="280" t="s">
        <v>9246</v>
      </c>
    </row>
    <row r="70" spans="1:35" ht="14">
      <c r="C70" s="228"/>
      <c r="D70" s="280" t="s">
        <v>9247</v>
      </c>
    </row>
    <row r="71" spans="1:35" ht="14">
      <c r="C71" s="228"/>
      <c r="D71" s="280" t="s">
        <v>9248</v>
      </c>
    </row>
    <row r="72" spans="1:35" ht="14">
      <c r="C72" s="228"/>
      <c r="D72" s="280" t="s">
        <v>9249</v>
      </c>
    </row>
    <row r="73" spans="1:35" ht="14">
      <c r="C73" s="228"/>
      <c r="D73" s="280" t="s">
        <v>9250</v>
      </c>
    </row>
    <row r="74" spans="1:35" ht="14">
      <c r="C74" s="228"/>
      <c r="D74" s="280" t="s">
        <v>9251</v>
      </c>
    </row>
    <row r="75" spans="1:35" ht="14">
      <c r="C75" s="280" t="s">
        <v>9240</v>
      </c>
    </row>
    <row r="79" spans="1:35">
      <c r="A79" s="233">
        <v>46136</v>
      </c>
      <c r="B79" s="263" t="s">
        <v>9252</v>
      </c>
      <c r="C79" s="147" t="s">
        <v>9253</v>
      </c>
      <c r="D79" s="147" t="s">
        <v>9254</v>
      </c>
    </row>
    <row r="80" spans="1:35">
      <c r="C80" s="147" t="s">
        <v>9255</v>
      </c>
      <c r="D80" s="147" t="s">
        <v>9256</v>
      </c>
    </row>
    <row r="81" spans="1:6">
      <c r="B81" s="353"/>
      <c r="C81" s="228"/>
      <c r="D81" s="147" t="s">
        <v>9257</v>
      </c>
    </row>
    <row r="82" spans="1:6">
      <c r="B82" s="353"/>
      <c r="C82" s="228"/>
      <c r="D82" s="147" t="s">
        <v>9258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9259</v>
      </c>
      <c r="C88" s="147" t="s">
        <v>9260</v>
      </c>
      <c r="D88" s="356">
        <v>1</v>
      </c>
      <c r="E88" s="357" t="s">
        <v>9261</v>
      </c>
      <c r="F88" s="179"/>
    </row>
    <row r="89" spans="1:6">
      <c r="B89" s="353"/>
      <c r="D89" s="356">
        <v>2</v>
      </c>
      <c r="E89" s="357" t="s">
        <v>9262</v>
      </c>
      <c r="F89" s="179"/>
    </row>
    <row r="90" spans="1:6">
      <c r="B90" s="353"/>
      <c r="D90" s="356">
        <v>3</v>
      </c>
      <c r="E90" s="357" t="s">
        <v>9263</v>
      </c>
      <c r="F90" s="179"/>
    </row>
    <row r="91" spans="1:6">
      <c r="B91" s="353"/>
      <c r="D91" s="356">
        <v>4</v>
      </c>
      <c r="E91" s="357" t="s">
        <v>9264</v>
      </c>
      <c r="F91" s="179"/>
    </row>
    <row r="92" spans="1:6">
      <c r="B92" s="353"/>
      <c r="D92" s="356">
        <v>5</v>
      </c>
      <c r="E92" s="357" t="s">
        <v>9265</v>
      </c>
      <c r="F92" s="179"/>
    </row>
    <row r="93" spans="1:6">
      <c r="B93" s="353"/>
      <c r="D93" s="356">
        <v>6</v>
      </c>
      <c r="E93" s="357" t="s">
        <v>9266</v>
      </c>
      <c r="F93" s="179"/>
    </row>
    <row r="94" spans="1:6">
      <c r="B94" s="353"/>
    </row>
    <row r="95" spans="1:6">
      <c r="B95" s="353"/>
      <c r="D95" s="356">
        <v>7</v>
      </c>
      <c r="E95" s="357" t="s">
        <v>9267</v>
      </c>
      <c r="F95" s="179"/>
    </row>
    <row r="96" spans="1:6" ht="14">
      <c r="B96" s="353"/>
      <c r="E96" s="280" t="s">
        <v>9240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9268</v>
      </c>
      <c r="C99" s="147" t="s">
        <v>9269</v>
      </c>
      <c r="D99" s="147" t="s">
        <v>9270</v>
      </c>
    </row>
    <row r="100" spans="1:4">
      <c r="B100" s="353"/>
      <c r="D100" s="147" t="s">
        <v>4765</v>
      </c>
    </row>
    <row r="101" spans="1:4">
      <c r="B101" s="353"/>
      <c r="D101" s="147" t="s">
        <v>9271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9272</v>
      </c>
      <c r="C106" s="147" t="s">
        <v>538</v>
      </c>
      <c r="D106" s="147" t="s">
        <v>9273</v>
      </c>
    </row>
    <row r="107" spans="1:4">
      <c r="B107" s="353"/>
      <c r="D107" s="147" t="s">
        <v>9274</v>
      </c>
    </row>
    <row r="108" spans="1:4" ht="14">
      <c r="B108" s="353"/>
      <c r="D108" s="280"/>
    </row>
    <row r="109" spans="1:4">
      <c r="A109" s="233">
        <v>46153</v>
      </c>
      <c r="B109" s="113" t="s">
        <v>9275</v>
      </c>
      <c r="C109" s="147" t="s">
        <v>9276</v>
      </c>
      <c r="D109" s="147" t="s">
        <v>9240</v>
      </c>
    </row>
    <row r="110" spans="1:4">
      <c r="B110" s="353"/>
      <c r="D110" s="147" t="s">
        <v>9277</v>
      </c>
    </row>
    <row r="111" spans="1:4">
      <c r="B111" s="353"/>
      <c r="D111" s="147" t="s">
        <v>9278</v>
      </c>
    </row>
    <row r="112" spans="1:4">
      <c r="D112" s="147" t="s">
        <v>9279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9280</v>
      </c>
      <c r="D116" s="390" t="s">
        <v>9281</v>
      </c>
      <c r="E116" s="391" t="s">
        <v>9282</v>
      </c>
      <c r="F116" s="391" t="s">
        <v>9283</v>
      </c>
      <c r="G116" s="391" t="s">
        <v>9284</v>
      </c>
      <c r="H116" s="391" t="s">
        <v>2498</v>
      </c>
      <c r="I116" s="391" t="s">
        <v>19</v>
      </c>
      <c r="J116" s="391" t="s">
        <v>20</v>
      </c>
      <c r="K116" s="391" t="s">
        <v>9285</v>
      </c>
      <c r="L116" s="391" t="s">
        <v>9286</v>
      </c>
      <c r="M116" s="391" t="s">
        <v>9287</v>
      </c>
    </row>
    <row r="117" spans="1:13">
      <c r="C117" s="401" t="s">
        <v>9288</v>
      </c>
      <c r="D117" s="392" t="s">
        <v>2712</v>
      </c>
      <c r="E117" s="393" t="s">
        <v>9289</v>
      </c>
      <c r="F117" s="394" t="s">
        <v>5353</v>
      </c>
      <c r="G117" s="393" t="s">
        <v>706</v>
      </c>
      <c r="H117" s="393" t="s">
        <v>9290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2712</v>
      </c>
      <c r="E118" s="393" t="s">
        <v>9291</v>
      </c>
      <c r="F118" s="393" t="s">
        <v>5363</v>
      </c>
      <c r="G118" s="393" t="s">
        <v>706</v>
      </c>
      <c r="H118" s="393" t="s">
        <v>9290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2712</v>
      </c>
      <c r="E119" s="393" t="s">
        <v>9292</v>
      </c>
      <c r="F119" s="393" t="s">
        <v>5463</v>
      </c>
      <c r="G119" s="393" t="s">
        <v>706</v>
      </c>
      <c r="H119" s="393" t="s">
        <v>9290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2712</v>
      </c>
      <c r="E120" s="393" t="s">
        <v>9293</v>
      </c>
      <c r="F120" s="393" t="s">
        <v>5469</v>
      </c>
      <c r="G120" s="393" t="s">
        <v>706</v>
      </c>
      <c r="H120" s="393" t="s">
        <v>9290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2712</v>
      </c>
      <c r="E121" s="393" t="s">
        <v>9294</v>
      </c>
      <c r="F121" s="393" t="s">
        <v>5472</v>
      </c>
      <c r="G121" s="393" t="s">
        <v>706</v>
      </c>
      <c r="H121" s="393" t="s">
        <v>9290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2712</v>
      </c>
      <c r="E122" s="393" t="s">
        <v>9295</v>
      </c>
      <c r="F122" s="393" t="s">
        <v>5358</v>
      </c>
      <c r="G122" s="393" t="s">
        <v>706</v>
      </c>
      <c r="H122" s="393" t="s">
        <v>9290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2712</v>
      </c>
      <c r="E123" s="393" t="s">
        <v>9296</v>
      </c>
      <c r="F123" s="393" t="s">
        <v>5475</v>
      </c>
      <c r="G123" s="393" t="s">
        <v>706</v>
      </c>
      <c r="H123" s="393" t="s">
        <v>9290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2712</v>
      </c>
      <c r="E124" s="393" t="s">
        <v>9297</v>
      </c>
      <c r="F124" s="393" t="s">
        <v>5315</v>
      </c>
      <c r="G124" s="393" t="s">
        <v>706</v>
      </c>
      <c r="H124" s="393" t="s">
        <v>9290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9298</v>
      </c>
      <c r="C129" s="147" t="s">
        <v>9299</v>
      </c>
      <c r="D129" s="147" t="s">
        <v>9300</v>
      </c>
    </row>
    <row r="133" spans="1:4">
      <c r="A133" s="233">
        <v>46170</v>
      </c>
      <c r="B133" s="113"/>
      <c r="C133" s="147" t="s">
        <v>9301</v>
      </c>
      <c r="D133" s="147" t="s">
        <v>9302</v>
      </c>
    </row>
    <row r="136" spans="1:4">
      <c r="A136" s="233">
        <v>46175</v>
      </c>
      <c r="B136" s="113" t="s">
        <v>9303</v>
      </c>
      <c r="C136" s="147" t="s">
        <v>9245</v>
      </c>
      <c r="D136" s="147" t="s">
        <v>9304</v>
      </c>
    </row>
    <row r="139" spans="1:4">
      <c r="A139" s="233">
        <v>46175</v>
      </c>
      <c r="B139" s="113"/>
      <c r="C139" s="147" t="s">
        <v>9305</v>
      </c>
      <c r="D139" s="147" t="s">
        <v>9306</v>
      </c>
    </row>
    <row r="140" spans="1:4">
      <c r="C140" s="228"/>
      <c r="D140" s="147" t="s">
        <v>9307</v>
      </c>
    </row>
    <row r="143" spans="1:4">
      <c r="A143" s="233">
        <v>46177</v>
      </c>
      <c r="B143" s="113"/>
      <c r="C143" s="147" t="s">
        <v>9308</v>
      </c>
      <c r="D143" s="147" t="s">
        <v>9309</v>
      </c>
    </row>
    <row r="146" spans="1:4">
      <c r="A146" s="233">
        <v>46177</v>
      </c>
      <c r="B146" s="113"/>
      <c r="C146" s="147"/>
      <c r="D146" s="147" t="s">
        <v>9310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3" priority="4"/>
  </conditionalFormatting>
  <conditionalFormatting sqref="Q64:Q65">
    <cfRule type="cellIs" dxfId="32" priority="2" operator="equal">
      <formula>"Yes"</formula>
    </cfRule>
    <cfRule type="cellIs" dxfId="3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9311</v>
      </c>
      <c r="D4" s="418" t="s">
        <v>9312</v>
      </c>
    </row>
    <row r="5" spans="2:4" ht="19.5" customHeight="1">
      <c r="B5" s="1083" t="s">
        <v>80</v>
      </c>
      <c r="C5" s="1371" t="s">
        <v>5726</v>
      </c>
      <c r="D5" s="1083" t="s">
        <v>9313</v>
      </c>
    </row>
    <row r="6" spans="2:4" ht="19.5" customHeight="1">
      <c r="B6" s="1083" t="s">
        <v>9314</v>
      </c>
      <c r="C6" s="1371">
        <v>274946111</v>
      </c>
      <c r="D6" s="1083" t="s">
        <v>9315</v>
      </c>
    </row>
    <row r="7" spans="2:4" ht="19.5" customHeight="1">
      <c r="B7" s="1083" t="s">
        <v>9316</v>
      </c>
      <c r="C7" s="1371" t="s">
        <v>5792</v>
      </c>
      <c r="D7" s="1083" t="s">
        <v>9317</v>
      </c>
    </row>
    <row r="8" spans="2:4" ht="19.5" customHeight="1">
      <c r="B8" s="1083" t="s">
        <v>9318</v>
      </c>
      <c r="C8" s="1371" t="s">
        <v>9319</v>
      </c>
      <c r="D8" s="1083" t="s">
        <v>9320</v>
      </c>
    </row>
    <row r="9" spans="2:4" ht="19.5" customHeight="1">
      <c r="B9" s="1083" t="s">
        <v>9321</v>
      </c>
      <c r="C9" s="1371" t="s">
        <v>5750</v>
      </c>
      <c r="D9" s="1083" t="s">
        <v>9322</v>
      </c>
    </row>
    <row r="10" spans="2:4" ht="19.5" customHeight="1">
      <c r="B10" s="1083" t="s">
        <v>9323</v>
      </c>
      <c r="C10" s="1371" t="s">
        <v>9324</v>
      </c>
      <c r="D10" s="1084" t="s">
        <v>9325</v>
      </c>
    </row>
    <row r="11" spans="2:4" ht="30" customHeight="1">
      <c r="B11" s="1371" t="s">
        <v>9326</v>
      </c>
      <c r="C11" s="1372" t="s">
        <v>9327</v>
      </c>
      <c r="D11" s="1374" t="s">
        <v>9328</v>
      </c>
    </row>
    <row r="12" spans="2:4" ht="50.25" customHeight="1">
      <c r="B12" s="1083" t="s">
        <v>9329</v>
      </c>
      <c r="C12" s="1373" t="s">
        <v>9330</v>
      </c>
      <c r="D12" s="1376" t="s">
        <v>9331</v>
      </c>
    </row>
    <row r="13" spans="2:4" ht="22.5" customHeight="1">
      <c r="B13" s="1083" t="s">
        <v>9332</v>
      </c>
      <c r="C13" s="1371"/>
      <c r="D13" s="1083" t="s">
        <v>9333</v>
      </c>
    </row>
    <row r="14" spans="2:4" ht="16.5" customHeight="1">
      <c r="B14" s="1083"/>
      <c r="C14" s="1083"/>
      <c r="D14" s="1375"/>
    </row>
    <row r="15" spans="2:4" ht="16.5" customHeight="1">
      <c r="B15" s="1083"/>
      <c r="C15" s="1083"/>
      <c r="D15" s="1083"/>
    </row>
    <row r="16" spans="2:4" ht="13">
      <c r="B16" s="1083"/>
      <c r="C16" s="1083"/>
      <c r="D16" s="1083"/>
    </row>
    <row r="17" spans="2:4" ht="13">
      <c r="B17" s="1083"/>
      <c r="C17" s="1083"/>
      <c r="D17" s="1083"/>
    </row>
    <row r="18" spans="2:4" ht="13">
      <c r="B18" s="1083"/>
      <c r="C18" s="1083"/>
      <c r="D18" s="1083"/>
    </row>
    <row r="19" spans="2:4" ht="13">
      <c r="B19" s="1083"/>
      <c r="C19" s="1083"/>
      <c r="D19" s="1083"/>
    </row>
    <row r="20" spans="2:4" ht="13">
      <c r="B20" s="1083"/>
      <c r="C20" s="1083"/>
      <c r="D20" s="108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39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60" bestFit="1" customWidth="1"/>
    <col min="6" max="7" width="15.69921875" customWidth="1"/>
    <col min="8" max="8" width="18.3984375" style="960" bestFit="1" customWidth="1"/>
    <col min="9" max="9" width="18" style="960" bestFit="1" customWidth="1"/>
  </cols>
  <sheetData>
    <row r="1" spans="1:9" ht="14">
      <c r="A1" s="1056" t="s">
        <v>9334</v>
      </c>
      <c r="B1" s="1056" t="s">
        <v>9335</v>
      </c>
      <c r="C1" s="1056" t="s">
        <v>9336</v>
      </c>
      <c r="D1" s="1057" t="s">
        <v>9337</v>
      </c>
      <c r="E1" s="1057" t="s">
        <v>9338</v>
      </c>
      <c r="F1" s="1056" t="s">
        <v>9339</v>
      </c>
      <c r="G1" s="1056" t="s">
        <v>9340</v>
      </c>
      <c r="H1" s="1057" t="s">
        <v>9341</v>
      </c>
      <c r="I1" s="1057" t="s">
        <v>9342</v>
      </c>
    </row>
    <row r="2" spans="1:9" ht="14">
      <c r="A2" s="1344" t="s">
        <v>1398</v>
      </c>
      <c r="B2" s="1344">
        <v>9506227090</v>
      </c>
      <c r="C2" s="1344" t="s">
        <v>9343</v>
      </c>
      <c r="D2" s="1346">
        <v>46089</v>
      </c>
      <c r="E2" s="1346">
        <v>46088.897199074076</v>
      </c>
      <c r="F2" s="1344" t="s">
        <v>9344</v>
      </c>
      <c r="G2" s="1344" t="s">
        <v>9204</v>
      </c>
      <c r="H2" s="1346">
        <v>46185.25</v>
      </c>
      <c r="I2" s="1346">
        <v>46184.877083333333</v>
      </c>
    </row>
    <row r="3" spans="1:9" ht="14">
      <c r="A3" s="1345" t="s">
        <v>1846</v>
      </c>
      <c r="B3" s="1345">
        <v>9506490230</v>
      </c>
      <c r="C3" s="1345" t="s">
        <v>9343</v>
      </c>
      <c r="D3" s="1347">
        <v>46103.489583333336</v>
      </c>
      <c r="E3" s="1347">
        <v>46103.526192129626</v>
      </c>
      <c r="F3" s="1345" t="s">
        <v>9345</v>
      </c>
      <c r="G3" s="1345" t="s">
        <v>9204</v>
      </c>
      <c r="H3" s="1347">
        <v>46183.21875</v>
      </c>
      <c r="I3" s="1347">
        <v>46183.291377314818</v>
      </c>
    </row>
    <row r="4" spans="1:9" ht="14">
      <c r="A4" s="1344" t="s">
        <v>1938</v>
      </c>
      <c r="B4" s="1344">
        <v>9506569240</v>
      </c>
      <c r="C4" s="1344" t="s">
        <v>9343</v>
      </c>
      <c r="D4" s="1346">
        <v>46110.666666666664</v>
      </c>
      <c r="E4" s="1346">
        <v>46110.624490740738</v>
      </c>
      <c r="F4" s="1344" t="s">
        <v>9345</v>
      </c>
      <c r="G4" s="1344" t="s">
        <v>9204</v>
      </c>
      <c r="H4" s="1346">
        <v>46191.875</v>
      </c>
      <c r="I4" s="1346">
        <v>46191.811898148146</v>
      </c>
    </row>
    <row r="5" spans="1:9" ht="14">
      <c r="A5" s="1345" t="s">
        <v>2002</v>
      </c>
      <c r="B5" s="1345">
        <v>6449453200</v>
      </c>
      <c r="C5" s="1345" t="s">
        <v>123</v>
      </c>
      <c r="D5" s="1347">
        <v>46125.791666666664</v>
      </c>
      <c r="E5" s="1347">
        <v>46125.815613425926</v>
      </c>
      <c r="F5" s="1345" t="s">
        <v>9346</v>
      </c>
      <c r="G5" s="1345" t="s">
        <v>9347</v>
      </c>
      <c r="H5" s="1347">
        <v>46182.791666666664</v>
      </c>
      <c r="I5" s="1347">
        <v>46182.978495370371</v>
      </c>
    </row>
    <row r="6" spans="1:9" ht="14">
      <c r="A6" s="1344" t="s">
        <v>2075</v>
      </c>
      <c r="B6" s="1344">
        <v>6449762550</v>
      </c>
      <c r="C6" s="1344" t="s">
        <v>123</v>
      </c>
      <c r="D6" s="1346">
        <v>46124.333333333336</v>
      </c>
      <c r="E6" s="1346">
        <v>46124.051226851851</v>
      </c>
      <c r="F6" s="1344" t="s">
        <v>9204</v>
      </c>
      <c r="G6" s="1344" t="s">
        <v>9348</v>
      </c>
      <c r="H6" s="1346">
        <v>46207.833333333336</v>
      </c>
      <c r="I6" s="1346">
        <v>46207.808657407404</v>
      </c>
    </row>
    <row r="7" spans="1:9" ht="14">
      <c r="A7" s="1345" t="s">
        <v>2092</v>
      </c>
      <c r="B7" s="1345">
        <v>9506746670</v>
      </c>
      <c r="C7" s="1345" t="s">
        <v>9343</v>
      </c>
      <c r="D7" s="1347">
        <v>46122.625</v>
      </c>
      <c r="E7" s="1347">
        <v>46122.657337962963</v>
      </c>
      <c r="F7" s="1345" t="s">
        <v>123</v>
      </c>
      <c r="G7" s="1345" t="s">
        <v>9204</v>
      </c>
      <c r="H7" s="1347">
        <v>46195.083333333336</v>
      </c>
      <c r="I7" s="1347">
        <v>46195.180555555555</v>
      </c>
    </row>
    <row r="8" spans="1:9" ht="14">
      <c r="A8" s="1344" t="s">
        <v>2115</v>
      </c>
      <c r="B8" s="1344">
        <v>6450390090</v>
      </c>
      <c r="C8" s="1344" t="s">
        <v>123</v>
      </c>
      <c r="D8" s="1346">
        <v>46141.854166666664</v>
      </c>
      <c r="E8" s="1346">
        <v>46141.916365740741</v>
      </c>
      <c r="F8" s="1344" t="s">
        <v>9349</v>
      </c>
      <c r="G8" s="1344" t="s">
        <v>9350</v>
      </c>
      <c r="H8" s="1346">
        <v>46189.125</v>
      </c>
      <c r="I8" s="1346">
        <v>46190.26971064815</v>
      </c>
    </row>
    <row r="9" spans="1:9" ht="14">
      <c r="A9" s="1345" t="s">
        <v>2145</v>
      </c>
      <c r="B9" s="1345">
        <v>6450114670</v>
      </c>
      <c r="C9" s="1345" t="s">
        <v>123</v>
      </c>
      <c r="D9" s="1347">
        <v>46131.1875</v>
      </c>
      <c r="E9" s="1347">
        <v>46131.213784722226</v>
      </c>
      <c r="F9" s="1410"/>
      <c r="G9" s="1345" t="s">
        <v>9351</v>
      </c>
      <c r="H9" s="1347">
        <v>46183.333333333336</v>
      </c>
      <c r="I9" s="1347">
        <v>46182.884826388887</v>
      </c>
    </row>
    <row r="10" spans="1:9" ht="14">
      <c r="A10" s="1344" t="s">
        <v>2156</v>
      </c>
      <c r="B10" s="1344">
        <v>6450390480</v>
      </c>
      <c r="C10" s="1344" t="s">
        <v>123</v>
      </c>
      <c r="D10" s="1346">
        <v>46138.875</v>
      </c>
      <c r="E10" s="1346">
        <v>46138.895370370374</v>
      </c>
      <c r="F10" s="1411"/>
      <c r="G10" s="1344" t="s">
        <v>9204</v>
      </c>
      <c r="H10" s="1346">
        <v>46191.875</v>
      </c>
      <c r="I10" s="1346">
        <v>46191.811898148146</v>
      </c>
    </row>
    <row r="11" spans="1:9" ht="14">
      <c r="A11" s="1345" t="s">
        <v>2170</v>
      </c>
      <c r="B11" s="1345">
        <v>6449793280</v>
      </c>
      <c r="C11" s="1345" t="s">
        <v>9343</v>
      </c>
      <c r="D11" s="1347">
        <v>46129.458333333336</v>
      </c>
      <c r="E11" s="1347">
        <v>46128.870671296296</v>
      </c>
      <c r="F11" s="1345" t="s">
        <v>123</v>
      </c>
      <c r="G11" s="1345" t="s">
        <v>9352</v>
      </c>
      <c r="H11" s="1347">
        <v>46183.25</v>
      </c>
      <c r="I11" s="1347">
        <v>46182.894849537035</v>
      </c>
    </row>
    <row r="12" spans="1:9" ht="14">
      <c r="A12" s="1344" t="s">
        <v>2176</v>
      </c>
      <c r="B12" s="1344">
        <v>9506800640</v>
      </c>
      <c r="C12" s="1344" t="s">
        <v>9343</v>
      </c>
      <c r="D12" s="1346">
        <v>46133.958333333336</v>
      </c>
      <c r="E12" s="1346">
        <v>46133.981435185182</v>
      </c>
      <c r="F12" s="1344" t="s">
        <v>9345</v>
      </c>
      <c r="G12" s="1344" t="s">
        <v>9204</v>
      </c>
      <c r="H12" s="1346">
        <v>46203.208333333336</v>
      </c>
      <c r="I12" s="1346">
        <v>46203.286539351851</v>
      </c>
    </row>
    <row r="13" spans="1:9" ht="14">
      <c r="A13" s="1345" t="s">
        <v>2181</v>
      </c>
      <c r="B13" s="1345">
        <v>6449882020</v>
      </c>
      <c r="C13" s="1345" t="s">
        <v>9343</v>
      </c>
      <c r="D13" s="1347">
        <v>46129.458333333336</v>
      </c>
      <c r="E13" s="1347">
        <v>46128.870671296296</v>
      </c>
      <c r="F13" s="1345" t="s">
        <v>123</v>
      </c>
      <c r="G13" s="1345" t="s">
        <v>9204</v>
      </c>
      <c r="H13" s="1347">
        <v>46185.25</v>
      </c>
      <c r="I13" s="1347">
        <v>46184.877083333333</v>
      </c>
    </row>
    <row r="14" spans="1:9" ht="14">
      <c r="A14" s="1344" t="s">
        <v>2194</v>
      </c>
      <c r="B14" s="1344">
        <v>6451575620</v>
      </c>
      <c r="C14" s="1344" t="s">
        <v>123</v>
      </c>
      <c r="D14" s="1346">
        <v>46139.375</v>
      </c>
      <c r="E14" s="1346">
        <v>46139.41201388889</v>
      </c>
      <c r="F14" s="1411"/>
      <c r="G14" s="1344" t="s">
        <v>9349</v>
      </c>
      <c r="H14" s="1346">
        <v>46195.145833333336</v>
      </c>
      <c r="I14" s="1346">
        <v>46195.250127314815</v>
      </c>
    </row>
    <row r="15" spans="1:9" ht="14">
      <c r="A15" s="1345" t="s">
        <v>2199</v>
      </c>
      <c r="B15" s="1345">
        <v>6451231180</v>
      </c>
      <c r="C15" s="1345" t="s">
        <v>123</v>
      </c>
      <c r="D15" s="1347">
        <v>46141.979166666664</v>
      </c>
      <c r="E15" s="1347">
        <v>46141.74858796296</v>
      </c>
      <c r="F15" s="1410"/>
      <c r="G15" s="1345" t="s">
        <v>9353</v>
      </c>
      <c r="H15" s="1347">
        <v>46194.25</v>
      </c>
      <c r="I15" s="1347">
        <v>46194.316770833335</v>
      </c>
    </row>
    <row r="16" spans="1:9" ht="14">
      <c r="A16" s="1344" t="s">
        <v>2205</v>
      </c>
      <c r="B16" s="1344">
        <v>6450703930</v>
      </c>
      <c r="C16" s="1344" t="s">
        <v>123</v>
      </c>
      <c r="D16" s="1346">
        <v>46138.5</v>
      </c>
      <c r="E16" s="1346">
        <v>46138.085729166669</v>
      </c>
      <c r="F16" s="1411"/>
      <c r="G16" s="1344" t="s">
        <v>9351</v>
      </c>
      <c r="H16" s="1346">
        <v>46190.75</v>
      </c>
      <c r="I16" s="1346">
        <v>46190.870671296296</v>
      </c>
    </row>
    <row r="17" spans="1:9" ht="14">
      <c r="A17" s="1345" t="s">
        <v>2215</v>
      </c>
      <c r="B17" s="1345">
        <v>6450706480</v>
      </c>
      <c r="C17" s="1345" t="s">
        <v>123</v>
      </c>
      <c r="D17" s="1347">
        <v>46140.729166666664</v>
      </c>
      <c r="E17" s="1347">
        <v>46140.745300925926</v>
      </c>
      <c r="F17" s="1410"/>
      <c r="G17" s="1345" t="s">
        <v>9204</v>
      </c>
      <c r="H17" s="1347">
        <v>46185.25</v>
      </c>
      <c r="I17" s="1347">
        <v>46184.877083333333</v>
      </c>
    </row>
    <row r="18" spans="1:9" ht="14">
      <c r="A18" s="1344" t="s">
        <v>2220</v>
      </c>
      <c r="B18" s="1344">
        <v>6451090390</v>
      </c>
      <c r="C18" s="1344" t="s">
        <v>123</v>
      </c>
      <c r="D18" s="1346">
        <v>46140.541666666664</v>
      </c>
      <c r="E18" s="1346">
        <v>46140.57271990741</v>
      </c>
      <c r="F18" s="1344" t="s">
        <v>9346</v>
      </c>
      <c r="G18" s="1344" t="s">
        <v>9347</v>
      </c>
      <c r="H18" s="1346">
        <v>46198.75</v>
      </c>
      <c r="I18" s="1346">
        <v>46198.780798611115</v>
      </c>
    </row>
    <row r="19" spans="1:9" ht="14">
      <c r="A19" s="1345" t="s">
        <v>2229</v>
      </c>
      <c r="B19" s="1345">
        <v>9506918160</v>
      </c>
      <c r="C19" s="1345" t="s">
        <v>9343</v>
      </c>
      <c r="D19" s="1347">
        <v>46138</v>
      </c>
      <c r="E19" s="1347">
        <v>46138.037280092591</v>
      </c>
      <c r="F19" s="1345" t="s">
        <v>9345</v>
      </c>
      <c r="G19" s="1345" t="s">
        <v>9204</v>
      </c>
      <c r="H19" s="1347">
        <v>46207.25</v>
      </c>
      <c r="I19" s="1347">
        <v>46207.073067129626</v>
      </c>
    </row>
    <row r="20" spans="1:9" ht="14">
      <c r="A20" s="1344" t="s">
        <v>2278</v>
      </c>
      <c r="B20" s="1344">
        <v>9506929530</v>
      </c>
      <c r="C20" s="1344" t="s">
        <v>9343</v>
      </c>
      <c r="D20" s="1346">
        <v>46138</v>
      </c>
      <c r="E20" s="1346">
        <v>46138.037280092591</v>
      </c>
      <c r="F20" s="1411"/>
      <c r="G20" s="1344" t="s">
        <v>9349</v>
      </c>
      <c r="H20" s="1346">
        <v>46189.5</v>
      </c>
      <c r="I20" s="1346">
        <v>46189.67</v>
      </c>
    </row>
    <row r="21" spans="1:9" ht="14">
      <c r="A21" s="1345" t="s">
        <v>2347</v>
      </c>
      <c r="B21" s="1345">
        <v>6451369150</v>
      </c>
      <c r="C21" s="1345" t="s">
        <v>123</v>
      </c>
      <c r="D21" s="1347">
        <v>46147.708333333336</v>
      </c>
      <c r="E21" s="1347">
        <v>46147.727800925924</v>
      </c>
      <c r="F21" s="1410"/>
      <c r="G21" s="1345" t="s">
        <v>9204</v>
      </c>
      <c r="H21" s="1347">
        <v>46196.541666666664</v>
      </c>
      <c r="I21" s="1347">
        <v>46196.578993055555</v>
      </c>
    </row>
    <row r="22" spans="1:9" ht="14">
      <c r="A22" s="1344" t="s">
        <v>2353</v>
      </c>
      <c r="B22" s="1344">
        <v>6451366460</v>
      </c>
      <c r="C22" s="1344" t="s">
        <v>123</v>
      </c>
      <c r="D22" s="1346">
        <v>46146.208333333336</v>
      </c>
      <c r="E22" s="1346">
        <v>46146.210486111115</v>
      </c>
      <c r="F22" s="1411"/>
      <c r="G22" s="1344" t="s">
        <v>9351</v>
      </c>
      <c r="H22" s="1346">
        <v>46198.25</v>
      </c>
      <c r="I22" s="1346">
        <v>46198.26699074074</v>
      </c>
    </row>
    <row r="23" spans="1:9" ht="14">
      <c r="A23" s="1345" t="s">
        <v>2361</v>
      </c>
      <c r="B23" s="1345">
        <v>6451880280</v>
      </c>
      <c r="C23" s="1345" t="s">
        <v>123</v>
      </c>
      <c r="D23" s="1347">
        <v>46149.625</v>
      </c>
      <c r="E23" s="1347">
        <v>46149.658437500002</v>
      </c>
      <c r="F23" s="1345" t="s">
        <v>9346</v>
      </c>
      <c r="G23" s="1345" t="s">
        <v>9347</v>
      </c>
      <c r="H23" s="1347">
        <v>46205.958333333336</v>
      </c>
      <c r="I23" s="1347">
        <v>46205.950752314813</v>
      </c>
    </row>
    <row r="24" spans="1:9" ht="14">
      <c r="A24" s="1344" t="s">
        <v>2365</v>
      </c>
      <c r="B24" s="1344">
        <v>6451371990</v>
      </c>
      <c r="C24" s="1344" t="s">
        <v>123</v>
      </c>
      <c r="D24" s="1346">
        <v>46147.708333333336</v>
      </c>
      <c r="E24" s="1346">
        <v>46147.727800925924</v>
      </c>
      <c r="F24" s="1411"/>
      <c r="G24" s="1344" t="s">
        <v>9348</v>
      </c>
      <c r="H24" s="1346">
        <v>46192.833333333336</v>
      </c>
      <c r="I24" s="1346">
        <v>46192.914004629631</v>
      </c>
    </row>
    <row r="25" spans="1:9" ht="14">
      <c r="A25" s="1345" t="s">
        <v>2370</v>
      </c>
      <c r="B25" s="1345">
        <v>9507036360</v>
      </c>
      <c r="C25" s="1345" t="s">
        <v>9343</v>
      </c>
      <c r="D25" s="1347">
        <v>46146.645833333336</v>
      </c>
      <c r="E25" s="1347">
        <v>46146.66920138889</v>
      </c>
      <c r="F25" s="1345" t="s">
        <v>123</v>
      </c>
      <c r="G25" s="1345" t="s">
        <v>9349</v>
      </c>
      <c r="H25" s="1347">
        <v>46202.583333333336</v>
      </c>
      <c r="I25" s="1347">
        <v>46202.551469907405</v>
      </c>
    </row>
    <row r="26" spans="1:9" ht="14">
      <c r="A26" s="1344" t="s">
        <v>2376</v>
      </c>
      <c r="B26" s="1344">
        <v>9507037880</v>
      </c>
      <c r="C26" s="1344" t="s">
        <v>9343</v>
      </c>
      <c r="D26" s="1346">
        <v>46146.645833333336</v>
      </c>
      <c r="E26" s="1346">
        <v>46146.66920138889</v>
      </c>
      <c r="F26" s="1411"/>
      <c r="G26" s="1344" t="s">
        <v>9349</v>
      </c>
      <c r="H26" s="1346">
        <v>46197.083333333336</v>
      </c>
      <c r="I26" s="1346">
        <v>46197.406006944446</v>
      </c>
    </row>
    <row r="27" spans="1:9" ht="14">
      <c r="A27" s="1345" t="s">
        <v>2380</v>
      </c>
      <c r="B27" s="1345">
        <v>9507017710</v>
      </c>
      <c r="C27" s="1345" t="s">
        <v>9343</v>
      </c>
      <c r="D27" s="1347">
        <v>46146.645833333336</v>
      </c>
      <c r="E27" s="1347">
        <v>46146.66920138889</v>
      </c>
      <c r="F27" s="1345" t="s">
        <v>9345</v>
      </c>
      <c r="G27" s="1345" t="s">
        <v>9204</v>
      </c>
      <c r="H27" s="1347">
        <v>46210.25</v>
      </c>
      <c r="I27" s="1347">
        <v>46210.243923611109</v>
      </c>
    </row>
    <row r="28" spans="1:9" ht="14">
      <c r="A28" s="1344" t="s">
        <v>2392</v>
      </c>
      <c r="B28" s="1344">
        <v>9507036320</v>
      </c>
      <c r="C28" s="1344" t="s">
        <v>9343</v>
      </c>
      <c r="D28" s="1346">
        <v>46146.645833333336</v>
      </c>
      <c r="E28" s="1346">
        <v>46146.66920138889</v>
      </c>
      <c r="F28" s="1344" t="s">
        <v>123</v>
      </c>
      <c r="G28" s="1344" t="s">
        <v>9354</v>
      </c>
      <c r="H28" s="1346">
        <v>46211.75</v>
      </c>
      <c r="I28" s="1346">
        <v>46211.801168981481</v>
      </c>
    </row>
    <row r="29" spans="1:9" ht="14">
      <c r="A29" s="1345" t="s">
        <v>2426</v>
      </c>
      <c r="B29" s="1345">
        <v>6452080850</v>
      </c>
      <c r="C29" s="1345" t="s">
        <v>123</v>
      </c>
      <c r="D29" s="1347">
        <v>46155.520833333336</v>
      </c>
      <c r="E29" s="1347">
        <v>46155.537627314814</v>
      </c>
      <c r="F29" s="1410"/>
      <c r="G29" s="1345" t="s">
        <v>9349</v>
      </c>
      <c r="H29" s="1347">
        <v>46197.083333333336</v>
      </c>
      <c r="I29" s="1347">
        <v>46197.406006944446</v>
      </c>
    </row>
    <row r="30" spans="1:9" ht="14">
      <c r="A30" s="1344" t="s">
        <v>2443</v>
      </c>
      <c r="B30" s="1344">
        <v>6452081790</v>
      </c>
      <c r="C30" s="1344" t="s">
        <v>123</v>
      </c>
      <c r="D30" s="1346">
        <v>46157.854166666664</v>
      </c>
      <c r="E30" s="1346">
        <v>46157.874074074076</v>
      </c>
      <c r="F30" s="1411"/>
      <c r="G30" s="1344" t="s">
        <v>9351</v>
      </c>
      <c r="H30" s="1346">
        <v>46205.708333333336</v>
      </c>
      <c r="I30" s="1346">
        <v>46205.655138888891</v>
      </c>
    </row>
    <row r="31" spans="1:9" ht="14">
      <c r="A31" s="1345" t="s">
        <v>2451</v>
      </c>
      <c r="B31" s="1345">
        <v>6452282800</v>
      </c>
      <c r="C31" s="1345" t="s">
        <v>9343</v>
      </c>
      <c r="D31" s="1347">
        <v>46155.197916666664</v>
      </c>
      <c r="E31" s="1347">
        <v>46155.189675925925</v>
      </c>
      <c r="F31" s="1345" t="s">
        <v>123</v>
      </c>
      <c r="G31" s="1345" t="s">
        <v>9352</v>
      </c>
      <c r="H31" s="1347">
        <v>46203.25</v>
      </c>
      <c r="I31" s="1347">
        <v>46202.869155092594</v>
      </c>
    </row>
    <row r="32" spans="1:9" ht="14">
      <c r="A32" s="1344" t="s">
        <v>4423</v>
      </c>
      <c r="B32" s="1344">
        <v>6452259000</v>
      </c>
      <c r="C32" s="1344" t="s">
        <v>9343</v>
      </c>
      <c r="D32" s="1346">
        <v>46150.708333333336</v>
      </c>
      <c r="E32" s="1346">
        <v>46150.817928240744</v>
      </c>
      <c r="F32" s="1344" t="s">
        <v>5992</v>
      </c>
      <c r="G32" s="1344" t="s">
        <v>9353</v>
      </c>
      <c r="H32" s="1346">
        <v>46208.708333333336</v>
      </c>
      <c r="I32" s="1346">
        <v>46208.656018518515</v>
      </c>
    </row>
    <row r="33" spans="1:9" ht="14">
      <c r="A33" s="1345" t="s">
        <v>4427</v>
      </c>
      <c r="B33" s="1345">
        <v>9507118140</v>
      </c>
      <c r="C33" s="1345" t="s">
        <v>9343</v>
      </c>
      <c r="D33" s="1347">
        <v>46155.197916666664</v>
      </c>
      <c r="E33" s="1347">
        <v>46155.189675925925</v>
      </c>
      <c r="F33" s="1410"/>
      <c r="G33" s="1345" t="s">
        <v>9349</v>
      </c>
      <c r="H33" s="1347">
        <v>46203.625</v>
      </c>
      <c r="I33" s="1347">
        <v>46203.620509259257</v>
      </c>
    </row>
    <row r="34" spans="1:9" ht="14">
      <c r="A34" s="1344" t="s">
        <v>4431</v>
      </c>
      <c r="B34" s="1344">
        <v>9507123270</v>
      </c>
      <c r="C34" s="1344" t="s">
        <v>9343</v>
      </c>
      <c r="D34" s="1346">
        <v>46155.197916666664</v>
      </c>
      <c r="E34" s="1346">
        <v>46155.189675925925</v>
      </c>
      <c r="F34" s="1344" t="s">
        <v>9345</v>
      </c>
      <c r="G34" s="1344" t="s">
        <v>9204</v>
      </c>
      <c r="H34" s="1346">
        <v>46215.25</v>
      </c>
      <c r="I34" s="1346">
        <v>46215.279849537037</v>
      </c>
    </row>
    <row r="35" spans="1:9" ht="14">
      <c r="A35" s="1345" t="s">
        <v>4435</v>
      </c>
      <c r="B35" s="1345">
        <v>9507123300</v>
      </c>
      <c r="C35" s="1345" t="s">
        <v>9343</v>
      </c>
      <c r="D35" s="1347">
        <v>46155.197916666664</v>
      </c>
      <c r="E35" s="1347">
        <v>46155.189675925925</v>
      </c>
      <c r="F35" s="1345" t="s">
        <v>9345</v>
      </c>
      <c r="G35" s="1345" t="s">
        <v>9204</v>
      </c>
      <c r="H35" s="1347">
        <v>46211.604166666664</v>
      </c>
      <c r="I35" s="1347">
        <v>46211.6721875</v>
      </c>
    </row>
    <row r="36" spans="1:9" ht="14">
      <c r="A36" s="1344" t="s">
        <v>4439</v>
      </c>
      <c r="B36" s="1344">
        <v>9507124020</v>
      </c>
      <c r="C36" s="1344" t="s">
        <v>9343</v>
      </c>
      <c r="D36" s="1346">
        <v>46155.197916666664</v>
      </c>
      <c r="E36" s="1346">
        <v>46155.189675925925</v>
      </c>
      <c r="F36" s="1344" t="s">
        <v>9345</v>
      </c>
      <c r="G36" s="1344" t="s">
        <v>9348</v>
      </c>
      <c r="H36" s="1346">
        <v>46204.583333333336</v>
      </c>
      <c r="I36" s="1346">
        <v>46204.374976851854</v>
      </c>
    </row>
    <row r="37" spans="1:9" ht="14">
      <c r="A37" s="1345" t="s">
        <v>4443</v>
      </c>
      <c r="B37" s="1345">
        <v>9507124040</v>
      </c>
      <c r="C37" s="1345" t="s">
        <v>9343</v>
      </c>
      <c r="D37" s="1347">
        <v>46150.708333333336</v>
      </c>
      <c r="E37" s="1347">
        <v>46150.817928240744</v>
      </c>
      <c r="F37" s="1345" t="s">
        <v>5992</v>
      </c>
      <c r="G37" s="1345" t="s">
        <v>9348</v>
      </c>
      <c r="H37" s="1347">
        <v>46205.479166666664</v>
      </c>
      <c r="I37" s="1347">
        <v>46205.285462962966</v>
      </c>
    </row>
    <row r="38" spans="1:9" ht="14">
      <c r="A38" s="1344" t="s">
        <v>4462</v>
      </c>
      <c r="B38" s="1344">
        <v>6500579050</v>
      </c>
      <c r="C38" s="1344" t="s">
        <v>123</v>
      </c>
      <c r="D38" s="1346">
        <v>46159.770833333336</v>
      </c>
      <c r="E38" s="1346">
        <v>46159.803553240738</v>
      </c>
      <c r="F38" s="1411"/>
      <c r="G38" s="1344" t="s">
        <v>9353</v>
      </c>
      <c r="H38" s="1346">
        <v>46200.458333333336</v>
      </c>
      <c r="I38" s="1346">
        <v>46200.509432870371</v>
      </c>
    </row>
    <row r="39" spans="1:9" ht="14">
      <c r="A39" s="1345" t="s">
        <v>4467</v>
      </c>
      <c r="B39" s="1345">
        <v>6500580760</v>
      </c>
      <c r="C39" s="1345" t="s">
        <v>123</v>
      </c>
      <c r="D39" s="1347">
        <v>46159.145833333336</v>
      </c>
      <c r="E39" s="1347">
        <v>46159.021979166668</v>
      </c>
      <c r="F39" s="1410"/>
      <c r="G39" s="1345" t="s">
        <v>9353</v>
      </c>
      <c r="H39" s="1347">
        <v>46202.916666666664</v>
      </c>
      <c r="I39" s="1347">
        <v>46202.913761574076</v>
      </c>
    </row>
    <row r="40" spans="1:9" ht="14">
      <c r="A40" s="1344" t="s">
        <v>4472</v>
      </c>
      <c r="B40" s="1344">
        <v>6452554090</v>
      </c>
      <c r="C40" s="1344" t="s">
        <v>123</v>
      </c>
      <c r="D40" s="1346">
        <v>46163.645833333336</v>
      </c>
      <c r="E40" s="1346">
        <v>46163.661041666666</v>
      </c>
      <c r="F40" s="1411"/>
      <c r="G40" s="1344" t="s">
        <v>9349</v>
      </c>
      <c r="H40" s="1346">
        <v>46203.625</v>
      </c>
      <c r="I40" s="1346">
        <v>46203.620509259257</v>
      </c>
    </row>
    <row r="41" spans="1:9" ht="14">
      <c r="A41" s="1345" t="s">
        <v>4479</v>
      </c>
      <c r="B41" s="1345">
        <v>6452556510</v>
      </c>
      <c r="C41" s="1345" t="s">
        <v>123</v>
      </c>
      <c r="D41" s="1347">
        <v>46173.645833333336</v>
      </c>
      <c r="E41" s="1347">
        <v>46173.669224537036</v>
      </c>
      <c r="F41" s="1410"/>
      <c r="G41" s="1345" t="s">
        <v>9349</v>
      </c>
      <c r="H41" s="1347">
        <v>46211.791666666664</v>
      </c>
      <c r="I41" s="1347">
        <v>46211.822372685187</v>
      </c>
    </row>
    <row r="42" spans="1:9" ht="14">
      <c r="A42" s="1344" t="s">
        <v>4486</v>
      </c>
      <c r="B42" s="1344">
        <v>6500776920</v>
      </c>
      <c r="C42" s="1344" t="s">
        <v>123</v>
      </c>
      <c r="D42" s="1346">
        <v>46163.645833333336</v>
      </c>
      <c r="E42" s="1346">
        <v>46163.661041666666</v>
      </c>
      <c r="F42" s="1411"/>
      <c r="G42" s="1344" t="s">
        <v>9349</v>
      </c>
      <c r="H42" s="1346">
        <v>46203.625</v>
      </c>
      <c r="I42" s="1346">
        <v>46203.620509259257</v>
      </c>
    </row>
    <row r="43" spans="1:9" ht="14">
      <c r="A43" s="1345" t="s">
        <v>4492</v>
      </c>
      <c r="B43" s="1345">
        <v>6452564640</v>
      </c>
      <c r="C43" s="1345" t="s">
        <v>123</v>
      </c>
      <c r="D43" s="1347">
        <v>46165.375</v>
      </c>
      <c r="E43" s="1347">
        <v>46165.372939814813</v>
      </c>
      <c r="F43" s="1410"/>
      <c r="G43" s="1345" t="s">
        <v>9204</v>
      </c>
      <c r="H43" s="1347">
        <v>46215.25</v>
      </c>
      <c r="I43" s="1347">
        <v>46215.279849537037</v>
      </c>
    </row>
    <row r="44" spans="1:9" ht="14">
      <c r="A44" s="1344" t="s">
        <v>4500</v>
      </c>
      <c r="B44" s="1344">
        <v>6452565360</v>
      </c>
      <c r="C44" s="1344" t="s">
        <v>123</v>
      </c>
      <c r="D44" s="1346">
        <v>46160.416666666664</v>
      </c>
      <c r="E44" s="1346">
        <v>46160.438981481479</v>
      </c>
      <c r="F44" s="1411"/>
      <c r="G44" s="1344" t="s">
        <v>9204</v>
      </c>
      <c r="H44" s="1346">
        <v>46207.25</v>
      </c>
      <c r="I44" s="1346">
        <v>46207.073067129626</v>
      </c>
    </row>
    <row r="45" spans="1:9" ht="14">
      <c r="A45" s="1345" t="s">
        <v>4507</v>
      </c>
      <c r="B45" s="1345">
        <v>6452560540</v>
      </c>
      <c r="C45" s="1345" t="s">
        <v>123</v>
      </c>
      <c r="D45" s="1347">
        <v>46165.375</v>
      </c>
      <c r="E45" s="1347">
        <v>46165.372939814813</v>
      </c>
      <c r="F45" s="1410"/>
      <c r="G45" s="1345" t="s">
        <v>9351</v>
      </c>
      <c r="H45" s="1347">
        <v>46217.75</v>
      </c>
      <c r="I45" s="1347">
        <v>46217.715624999997</v>
      </c>
    </row>
    <row r="46" spans="1:9" ht="14">
      <c r="A46" s="1344" t="s">
        <v>4511</v>
      </c>
      <c r="B46" s="1344">
        <v>6452561470</v>
      </c>
      <c r="C46" s="1344" t="s">
        <v>123</v>
      </c>
      <c r="D46" s="1346">
        <v>46165.375</v>
      </c>
      <c r="E46" s="1346">
        <v>46165.372939814813</v>
      </c>
      <c r="F46" s="1411"/>
      <c r="G46" s="1344" t="s">
        <v>9351</v>
      </c>
      <c r="H46" s="1346">
        <v>46217.75</v>
      </c>
      <c r="I46" s="1346">
        <v>46217.715624999997</v>
      </c>
    </row>
    <row r="47" spans="1:9" ht="14">
      <c r="A47" s="1345" t="s">
        <v>4520</v>
      </c>
      <c r="B47" s="1345">
        <v>6500305100</v>
      </c>
      <c r="C47" s="1345" t="s">
        <v>123</v>
      </c>
      <c r="D47" s="1347">
        <v>46162.25</v>
      </c>
      <c r="E47" s="1347">
        <v>46162.268611111111</v>
      </c>
      <c r="F47" s="1410"/>
      <c r="G47" s="1345" t="s">
        <v>9348</v>
      </c>
      <c r="H47" s="1347">
        <v>46205.479166666664</v>
      </c>
      <c r="I47" s="1347">
        <v>46205.285462962966</v>
      </c>
    </row>
    <row r="48" spans="1:9" ht="14">
      <c r="A48" s="1344" t="s">
        <v>4524</v>
      </c>
      <c r="B48" s="1344">
        <v>6500301740</v>
      </c>
      <c r="C48" s="1344" t="s">
        <v>123</v>
      </c>
      <c r="D48" s="1346">
        <v>46162.25</v>
      </c>
      <c r="E48" s="1346">
        <v>46162.268611111111</v>
      </c>
      <c r="F48" s="1411"/>
      <c r="G48" s="1344" t="s">
        <v>9348</v>
      </c>
      <c r="H48" s="1346">
        <v>46205.479166666664</v>
      </c>
      <c r="I48" s="1346">
        <v>46205.285462962966</v>
      </c>
    </row>
    <row r="49" spans="1:9" ht="14">
      <c r="A49" s="1345" t="s">
        <v>4531</v>
      </c>
      <c r="B49" s="1345">
        <v>6500419700</v>
      </c>
      <c r="C49" s="1345" t="s">
        <v>9343</v>
      </c>
      <c r="D49" s="1347">
        <v>46164.798611111109</v>
      </c>
      <c r="E49" s="1347">
        <v>46164.845092592594</v>
      </c>
      <c r="F49" s="1345" t="s">
        <v>123</v>
      </c>
      <c r="G49" s="1345" t="s">
        <v>9353</v>
      </c>
      <c r="H49" s="1347">
        <v>46215.833333333336</v>
      </c>
      <c r="I49" s="1347">
        <v>46215.791539351849</v>
      </c>
    </row>
    <row r="50" spans="1:9" ht="14">
      <c r="A50" s="1344" t="s">
        <v>4535</v>
      </c>
      <c r="B50" s="1344">
        <v>6500506790</v>
      </c>
      <c r="C50" s="1344" t="s">
        <v>9343</v>
      </c>
      <c r="D50" s="1346">
        <v>46164.798611111109</v>
      </c>
      <c r="E50" s="1346">
        <v>46164.845092592594</v>
      </c>
      <c r="F50" s="1411"/>
      <c r="G50" s="1344" t="s">
        <v>9349</v>
      </c>
      <c r="H50" s="1346">
        <v>46211.791666666664</v>
      </c>
      <c r="I50" s="1346">
        <v>46211.822372685187</v>
      </c>
    </row>
    <row r="51" spans="1:9" ht="14">
      <c r="A51" s="1345" t="s">
        <v>4544</v>
      </c>
      <c r="B51" s="1345">
        <v>9507226040</v>
      </c>
      <c r="C51" s="1345" t="s">
        <v>9343</v>
      </c>
      <c r="D51" s="1347">
        <v>46164.798611111109</v>
      </c>
      <c r="E51" s="1347">
        <v>46164.845092592594</v>
      </c>
      <c r="F51" s="1345" t="s">
        <v>123</v>
      </c>
      <c r="G51" s="1345" t="s">
        <v>9354</v>
      </c>
      <c r="H51" s="1347">
        <v>46225.916666666664</v>
      </c>
      <c r="I51" s="1347">
        <v>46225.981736111113</v>
      </c>
    </row>
    <row r="52" spans="1:9" ht="14">
      <c r="A52" s="1344" t="s">
        <v>4550</v>
      </c>
      <c r="B52" s="1344">
        <v>9507244150</v>
      </c>
      <c r="C52" s="1344" t="s">
        <v>9343</v>
      </c>
      <c r="D52" s="1346">
        <v>46164.798611111109</v>
      </c>
      <c r="E52" s="1346">
        <v>46164.845092592594</v>
      </c>
      <c r="F52" s="1344" t="s">
        <v>9345</v>
      </c>
      <c r="G52" s="1344" t="s">
        <v>9204</v>
      </c>
      <c r="H52" s="1346">
        <v>46236.25</v>
      </c>
      <c r="I52" s="1346">
        <v>46236.239571759259</v>
      </c>
    </row>
    <row r="53" spans="1:9" ht="14">
      <c r="A53" s="1345" t="s">
        <v>4559</v>
      </c>
      <c r="B53" s="1345">
        <v>9507244520</v>
      </c>
      <c r="C53" s="1345" t="s">
        <v>9343</v>
      </c>
      <c r="D53" s="1347">
        <v>46164.798611111109</v>
      </c>
      <c r="E53" s="1347">
        <v>46164.845092592594</v>
      </c>
      <c r="F53" s="1345" t="s">
        <v>9345</v>
      </c>
      <c r="G53" s="1345" t="s">
        <v>9348</v>
      </c>
      <c r="H53" s="1347">
        <v>46221.125</v>
      </c>
      <c r="I53" s="1347">
        <v>46221.124722222223</v>
      </c>
    </row>
    <row r="54" spans="1:9" ht="14">
      <c r="A54" s="1344" t="s">
        <v>4563</v>
      </c>
      <c r="B54" s="1344">
        <v>6500591410</v>
      </c>
      <c r="C54" s="1344" t="s">
        <v>9343</v>
      </c>
      <c r="D54" s="1346">
        <v>46164.798611111109</v>
      </c>
      <c r="E54" s="1346">
        <v>46164.845092592594</v>
      </c>
      <c r="F54" s="1344" t="s">
        <v>123</v>
      </c>
      <c r="G54" s="1344" t="s">
        <v>9348</v>
      </c>
      <c r="H54" s="1346">
        <v>46219.833333333336</v>
      </c>
      <c r="I54" s="1346">
        <v>46219.648356481484</v>
      </c>
    </row>
    <row r="55" spans="1:9" ht="14">
      <c r="A55" s="1345" t="s">
        <v>4578</v>
      </c>
      <c r="B55" s="1345">
        <v>6500936270</v>
      </c>
      <c r="C55" s="1345" t="s">
        <v>123</v>
      </c>
      <c r="D55" s="1347">
        <v>46167.958333333336</v>
      </c>
      <c r="E55" s="1347">
        <v>46168.254942129628</v>
      </c>
      <c r="F55" s="1410"/>
      <c r="G55" s="1345" t="s">
        <v>9353</v>
      </c>
      <c r="H55" s="1347">
        <v>46208.708333333336</v>
      </c>
      <c r="I55" s="1347">
        <v>46208.656018518515</v>
      </c>
    </row>
    <row r="56" spans="1:9" ht="14">
      <c r="A56" s="1344" t="s">
        <v>4582</v>
      </c>
      <c r="B56" s="1344">
        <v>6500933440</v>
      </c>
      <c r="C56" s="1344" t="s">
        <v>123</v>
      </c>
      <c r="D56" s="1346">
        <v>46173.645833333336</v>
      </c>
      <c r="E56" s="1346">
        <v>46173.669224537036</v>
      </c>
      <c r="F56" s="1411"/>
      <c r="G56" s="1344" t="s">
        <v>9349</v>
      </c>
      <c r="H56" s="1346">
        <v>46211.791666666664</v>
      </c>
      <c r="I56" s="1346">
        <v>46211.822372685187</v>
      </c>
    </row>
    <row r="57" spans="1:9" ht="14">
      <c r="A57" s="1345" t="s">
        <v>4590</v>
      </c>
      <c r="B57" s="1345">
        <v>6500933990</v>
      </c>
      <c r="C57" s="1345" t="s">
        <v>123</v>
      </c>
      <c r="D57" s="1347">
        <v>46173.645833333336</v>
      </c>
      <c r="E57" s="1347">
        <v>46173.669224537036</v>
      </c>
      <c r="F57" s="1410"/>
      <c r="G57" s="1345" t="s">
        <v>9349</v>
      </c>
      <c r="H57" s="1347">
        <v>46211.791666666664</v>
      </c>
      <c r="I57" s="1347">
        <v>46211.822372685187</v>
      </c>
    </row>
    <row r="58" spans="1:9" ht="14">
      <c r="A58" s="1344" t="s">
        <v>4599</v>
      </c>
      <c r="B58" s="1344">
        <v>6500935690</v>
      </c>
      <c r="C58" s="1344" t="s">
        <v>123</v>
      </c>
      <c r="D58" s="1346">
        <v>46174.666666666664</v>
      </c>
      <c r="E58" s="1346">
        <v>46174.715324074074</v>
      </c>
      <c r="F58" s="1344" t="s">
        <v>9355</v>
      </c>
      <c r="G58" s="1344" t="s">
        <v>9349</v>
      </c>
      <c r="H58" s="1346">
        <v>46227.458333333336</v>
      </c>
      <c r="I58" s="1346">
        <v>46227.434178240743</v>
      </c>
    </row>
    <row r="59" spans="1:9" ht="14">
      <c r="A59" s="1345" t="s">
        <v>4606</v>
      </c>
      <c r="B59" s="1345">
        <v>6500934940</v>
      </c>
      <c r="C59" s="1345" t="s">
        <v>123</v>
      </c>
      <c r="D59" s="1347">
        <v>46190.708333333336</v>
      </c>
      <c r="E59" s="1347">
        <v>46190.726354166669</v>
      </c>
      <c r="F59" s="1410"/>
      <c r="G59" s="1345" t="s">
        <v>9349</v>
      </c>
      <c r="H59" s="1347">
        <v>46234.6875</v>
      </c>
      <c r="I59" s="1347">
        <v>46234.795706018522</v>
      </c>
    </row>
    <row r="60" spans="1:9" ht="14">
      <c r="A60" s="1344" t="s">
        <v>4610</v>
      </c>
      <c r="B60" s="1344">
        <v>6501272360</v>
      </c>
      <c r="C60" s="1344" t="s">
        <v>123</v>
      </c>
      <c r="D60" s="1346">
        <v>46190.708333333336</v>
      </c>
      <c r="E60" s="1346">
        <v>46190.726354166669</v>
      </c>
      <c r="F60" s="1411"/>
      <c r="G60" s="1344" t="s">
        <v>9349</v>
      </c>
      <c r="H60" s="1346">
        <v>46234.6875</v>
      </c>
      <c r="I60" s="1346">
        <v>46234.795706018522</v>
      </c>
    </row>
    <row r="61" spans="1:9" ht="14">
      <c r="A61" s="1345" t="s">
        <v>4619</v>
      </c>
      <c r="B61" s="1345">
        <v>6501271780</v>
      </c>
      <c r="C61" s="1345" t="s">
        <v>123</v>
      </c>
      <c r="D61" s="1347">
        <v>46190.708333333336</v>
      </c>
      <c r="E61" s="1347">
        <v>46190.726354166669</v>
      </c>
      <c r="F61" s="1410"/>
      <c r="G61" s="1345" t="s">
        <v>9349</v>
      </c>
      <c r="H61" s="1347">
        <v>46234.6875</v>
      </c>
      <c r="I61" s="1347">
        <v>46234.795706018522</v>
      </c>
    </row>
    <row r="62" spans="1:9" ht="14">
      <c r="A62" s="1344" t="s">
        <v>4625</v>
      </c>
      <c r="B62" s="1344">
        <v>6500939350</v>
      </c>
      <c r="C62" s="1344" t="s">
        <v>123</v>
      </c>
      <c r="D62" s="1346">
        <v>46172.479166666664</v>
      </c>
      <c r="E62" s="1346">
        <v>46172.499710648146</v>
      </c>
      <c r="F62" s="1411"/>
      <c r="G62" s="1344" t="s">
        <v>9351</v>
      </c>
      <c r="H62" s="1346">
        <v>46225.5</v>
      </c>
      <c r="I62" s="1346">
        <v>46225.689560185187</v>
      </c>
    </row>
    <row r="63" spans="1:9" ht="14">
      <c r="A63" s="1345" t="s">
        <v>4631</v>
      </c>
      <c r="B63" s="1345">
        <v>6500939570</v>
      </c>
      <c r="C63" s="1345" t="s">
        <v>123</v>
      </c>
      <c r="D63" s="1347">
        <v>46172.479166666664</v>
      </c>
      <c r="E63" s="1347">
        <v>46172.499710648146</v>
      </c>
      <c r="F63" s="1345" t="s">
        <v>9346</v>
      </c>
      <c r="G63" s="1345" t="s">
        <v>9347</v>
      </c>
      <c r="H63" s="1347">
        <v>46227.291666666664</v>
      </c>
      <c r="I63" s="1347">
        <v>46227.704837962963</v>
      </c>
    </row>
    <row r="64" spans="1:9" ht="14">
      <c r="A64" s="1344" t="s">
        <v>4641</v>
      </c>
      <c r="B64" s="1344">
        <v>6500952590</v>
      </c>
      <c r="C64" s="1344" t="s">
        <v>123</v>
      </c>
      <c r="D64" s="1346">
        <v>46168.354166666664</v>
      </c>
      <c r="E64" s="1346">
        <v>46168.380972222221</v>
      </c>
      <c r="F64" s="1411"/>
      <c r="G64" s="1344" t="s">
        <v>9348</v>
      </c>
      <c r="H64" s="1346">
        <v>46204.583333333336</v>
      </c>
      <c r="I64" s="1346">
        <v>46204.374976851854</v>
      </c>
    </row>
    <row r="65" spans="1:9" ht="14">
      <c r="A65" s="1345" t="s">
        <v>4655</v>
      </c>
      <c r="B65" s="1345">
        <v>6500853600</v>
      </c>
      <c r="C65" s="1345" t="s">
        <v>9343</v>
      </c>
      <c r="D65" s="1347">
        <v>46164.798611111109</v>
      </c>
      <c r="E65" s="1347">
        <v>46164.845092592594</v>
      </c>
      <c r="F65" s="1345" t="s">
        <v>123</v>
      </c>
      <c r="G65" s="1345" t="s">
        <v>9354</v>
      </c>
      <c r="H65" s="1347">
        <v>46225.916666666664</v>
      </c>
      <c r="I65" s="1347">
        <v>46225.981736111113</v>
      </c>
    </row>
    <row r="66" spans="1:9" ht="14">
      <c r="A66" s="1344" t="s">
        <v>4659</v>
      </c>
      <c r="B66" s="1344">
        <v>6500844150</v>
      </c>
      <c r="C66" s="1344" t="s">
        <v>9343</v>
      </c>
      <c r="D66" s="1346">
        <v>46164.798611111109</v>
      </c>
      <c r="E66" s="1346">
        <v>46164.845092592594</v>
      </c>
      <c r="F66" s="1344" t="s">
        <v>9345</v>
      </c>
      <c r="G66" s="1344" t="s">
        <v>9349</v>
      </c>
      <c r="H66" s="1346">
        <v>46218.916666666664</v>
      </c>
      <c r="I66" s="1346">
        <v>46218.926388888889</v>
      </c>
    </row>
    <row r="67" spans="1:9" ht="14">
      <c r="A67" s="1345" t="s">
        <v>4667</v>
      </c>
      <c r="B67" s="1345">
        <v>6501834110</v>
      </c>
      <c r="C67" s="1345" t="s">
        <v>9343</v>
      </c>
      <c r="D67" s="1347">
        <v>46172.645833333336</v>
      </c>
      <c r="E67" s="1347">
        <v>46172.671979166669</v>
      </c>
      <c r="F67" s="1410"/>
      <c r="G67" s="1345" t="s">
        <v>9349</v>
      </c>
      <c r="H67" s="1347">
        <v>46218.916666666664</v>
      </c>
      <c r="I67" s="1347">
        <v>46218.926388888889</v>
      </c>
    </row>
    <row r="68" spans="1:9" ht="14">
      <c r="A68" s="1344" t="s">
        <v>4678</v>
      </c>
      <c r="B68" s="1344">
        <v>9507394940</v>
      </c>
      <c r="C68" s="1344" t="s">
        <v>9343</v>
      </c>
      <c r="D68" s="1346">
        <v>46172.645833333336</v>
      </c>
      <c r="E68" s="1346">
        <v>46172.671979166669</v>
      </c>
      <c r="F68" s="1344" t="s">
        <v>9345</v>
      </c>
      <c r="G68" s="1344" t="s">
        <v>9351</v>
      </c>
      <c r="H68" s="1346">
        <v>46239.5</v>
      </c>
      <c r="I68" s="1346">
        <v>46239.457638888889</v>
      </c>
    </row>
    <row r="69" spans="1:9" ht="14">
      <c r="A69" s="1345" t="s">
        <v>4683</v>
      </c>
      <c r="B69" s="1345">
        <v>9507394750</v>
      </c>
      <c r="C69" s="1345" t="s">
        <v>9343</v>
      </c>
      <c r="D69" s="1347">
        <v>46172.645833333336</v>
      </c>
      <c r="E69" s="1347">
        <v>46172.671979166669</v>
      </c>
      <c r="F69" s="1345" t="s">
        <v>9345</v>
      </c>
      <c r="G69" s="1345" t="s">
        <v>9204</v>
      </c>
      <c r="H69" s="1347">
        <v>46235.125</v>
      </c>
      <c r="I69" s="1347">
        <v>46235.175381944442</v>
      </c>
    </row>
    <row r="70" spans="1:9" ht="14">
      <c r="A70" s="1344" t="s">
        <v>4687</v>
      </c>
      <c r="B70" s="1344">
        <v>6501671340</v>
      </c>
      <c r="C70" s="1344" t="s">
        <v>9343</v>
      </c>
      <c r="D70" s="1346">
        <v>46172.645833333336</v>
      </c>
      <c r="E70" s="1346">
        <v>46172.671979166669</v>
      </c>
      <c r="F70" s="1344" t="s">
        <v>123</v>
      </c>
      <c r="G70" s="1344" t="s">
        <v>9353</v>
      </c>
      <c r="H70" s="1346">
        <v>46224.708333333336</v>
      </c>
      <c r="I70" s="1346">
        <v>46224.717939814815</v>
      </c>
    </row>
    <row r="71" spans="1:9" ht="14">
      <c r="A71" s="1345" t="s">
        <v>4693</v>
      </c>
      <c r="B71" s="1345">
        <v>9507395030</v>
      </c>
      <c r="C71" s="1345" t="s">
        <v>9343</v>
      </c>
      <c r="D71" s="1347">
        <v>46172.645833333336</v>
      </c>
      <c r="E71" s="1347">
        <v>46172.671979166669</v>
      </c>
      <c r="F71" s="1345" t="s">
        <v>123</v>
      </c>
      <c r="G71" s="1345" t="s">
        <v>9348</v>
      </c>
      <c r="H71" s="1347">
        <v>46229.333333333336</v>
      </c>
      <c r="I71" s="1347">
        <v>46229.295902777776</v>
      </c>
    </row>
    <row r="72" spans="1:9" ht="14">
      <c r="A72" s="1344" t="s">
        <v>4698</v>
      </c>
      <c r="B72" s="1344">
        <v>6501611330</v>
      </c>
      <c r="C72" s="1344" t="s">
        <v>123</v>
      </c>
      <c r="D72" s="1346">
        <v>46179.479166666664</v>
      </c>
      <c r="E72" s="1346">
        <v>46179.552465277775</v>
      </c>
      <c r="F72" s="1411"/>
      <c r="G72" s="1344" t="s">
        <v>9349</v>
      </c>
      <c r="H72" s="1346">
        <v>46218.916666666664</v>
      </c>
      <c r="I72" s="1346">
        <v>46218.926388888889</v>
      </c>
    </row>
    <row r="73" spans="1:9" ht="14">
      <c r="A73" s="1345" t="s">
        <v>4704</v>
      </c>
      <c r="B73" s="1345">
        <v>6501612640</v>
      </c>
      <c r="C73" s="1345" t="s">
        <v>123</v>
      </c>
      <c r="D73" s="1347">
        <v>46179.479166666664</v>
      </c>
      <c r="E73" s="1347">
        <v>46179.552465277775</v>
      </c>
      <c r="F73" s="1410"/>
      <c r="G73" s="1345" t="s">
        <v>9349</v>
      </c>
      <c r="H73" s="1347">
        <v>46218.916666666664</v>
      </c>
      <c r="I73" s="1347">
        <v>46218.926388888889</v>
      </c>
    </row>
    <row r="74" spans="1:9" ht="14">
      <c r="A74" s="1344" t="s">
        <v>4710</v>
      </c>
      <c r="B74" s="1344">
        <v>6501606860</v>
      </c>
      <c r="C74" s="1344" t="s">
        <v>123</v>
      </c>
      <c r="D74" s="1346">
        <v>46175.958333333336</v>
      </c>
      <c r="E74" s="1346">
        <v>46175.833240740743</v>
      </c>
      <c r="F74" s="1411"/>
      <c r="G74" s="1344" t="s">
        <v>9349</v>
      </c>
      <c r="H74" s="1346">
        <v>46222.208333333336</v>
      </c>
      <c r="I74" s="1346">
        <v>46222.270439814813</v>
      </c>
    </row>
    <row r="75" spans="1:9" ht="14">
      <c r="A75" s="1345" t="s">
        <v>4715</v>
      </c>
      <c r="B75" s="1345">
        <v>6501614610</v>
      </c>
      <c r="C75" s="1345" t="s">
        <v>123</v>
      </c>
      <c r="D75" s="1347">
        <v>46182.125</v>
      </c>
      <c r="E75" s="1347">
        <v>46182.145671296297</v>
      </c>
      <c r="F75" s="1410"/>
      <c r="G75" s="1345" t="s">
        <v>9349</v>
      </c>
      <c r="H75" s="1347">
        <v>46228.541666666664</v>
      </c>
      <c r="I75" s="1347">
        <v>46228.541307870371</v>
      </c>
    </row>
    <row r="76" spans="1:9" ht="14">
      <c r="A76" s="1344" t="s">
        <v>4722</v>
      </c>
      <c r="B76" s="1344">
        <v>6501935710</v>
      </c>
      <c r="C76" s="1344" t="s">
        <v>123</v>
      </c>
      <c r="D76" s="1346">
        <v>46183.291666666664</v>
      </c>
      <c r="E76" s="1346">
        <v>46183.326574074075</v>
      </c>
      <c r="F76" s="1411"/>
      <c r="G76" s="1344" t="s">
        <v>9204</v>
      </c>
      <c r="H76" s="1346">
        <v>46236.25</v>
      </c>
      <c r="I76" s="1346">
        <v>46236.239571759259</v>
      </c>
    </row>
    <row r="77" spans="1:9" ht="14">
      <c r="A77" s="1345" t="s">
        <v>4727</v>
      </c>
      <c r="B77" s="1345">
        <v>6501936780</v>
      </c>
      <c r="C77" s="1345" t="s">
        <v>123</v>
      </c>
      <c r="D77" s="1347">
        <v>46183.291666666664</v>
      </c>
      <c r="E77" s="1347">
        <v>46183.326574074075</v>
      </c>
      <c r="F77" s="1410"/>
      <c r="G77" s="1345" t="s">
        <v>9351</v>
      </c>
      <c r="H77" s="1347">
        <v>46232.75</v>
      </c>
      <c r="I77" s="1347">
        <v>46232.83326388889</v>
      </c>
    </row>
    <row r="78" spans="1:9" ht="14">
      <c r="A78" s="1344" t="s">
        <v>4735</v>
      </c>
      <c r="B78" s="1344">
        <v>6502257250</v>
      </c>
      <c r="C78" s="1344" t="s">
        <v>123</v>
      </c>
      <c r="D78" s="1346">
        <v>46178.520833333336</v>
      </c>
      <c r="E78" s="1346">
        <v>46178.523506944446</v>
      </c>
      <c r="F78" s="1411"/>
      <c r="G78" s="1344" t="s">
        <v>9348</v>
      </c>
      <c r="H78" s="1346">
        <v>46219.833333333336</v>
      </c>
      <c r="I78" s="1346">
        <v>46219.648356481484</v>
      </c>
    </row>
    <row r="79" spans="1:9" ht="14">
      <c r="A79" s="1345" t="s">
        <v>4739</v>
      </c>
      <c r="B79" s="1345">
        <v>6501615690</v>
      </c>
      <c r="C79" s="1345" t="s">
        <v>123</v>
      </c>
      <c r="D79" s="1347">
        <v>46178.520833333336</v>
      </c>
      <c r="E79" s="1347">
        <v>46178.523506944446</v>
      </c>
      <c r="F79" s="1410"/>
      <c r="G79" s="1345" t="s">
        <v>9348</v>
      </c>
      <c r="H79" s="1347">
        <v>46219.833333333336</v>
      </c>
      <c r="I79" s="1347">
        <v>46219.648356481484</v>
      </c>
    </row>
    <row r="80" spans="1:9" ht="14">
      <c r="A80" s="1344" t="s">
        <v>4749</v>
      </c>
      <c r="B80" s="1344">
        <v>9507498230</v>
      </c>
      <c r="C80" s="1344" t="s">
        <v>9343</v>
      </c>
      <c r="D80" s="1346">
        <v>46178.8125</v>
      </c>
      <c r="E80" s="1346">
        <v>46178.691296296296</v>
      </c>
      <c r="F80" s="1411"/>
      <c r="G80" s="1344" t="s">
        <v>9349</v>
      </c>
      <c r="H80" s="1346">
        <v>46223.416666666664</v>
      </c>
      <c r="I80" s="1346">
        <v>46223.416238425925</v>
      </c>
    </row>
    <row r="81" spans="1:9" ht="14">
      <c r="A81" s="1345" t="s">
        <v>4755</v>
      </c>
      <c r="B81" s="1345">
        <v>9507497710</v>
      </c>
      <c r="C81" s="1345" t="s">
        <v>9343</v>
      </c>
      <c r="D81" s="1347">
        <v>46178.8125</v>
      </c>
      <c r="E81" s="1347">
        <v>46178.691296296296</v>
      </c>
      <c r="F81" s="1345" t="s">
        <v>123</v>
      </c>
      <c r="G81" s="1345" t="s">
        <v>9348</v>
      </c>
      <c r="H81" s="1347">
        <v>46233.5</v>
      </c>
      <c r="I81" s="1347">
        <v>46233.593275462961</v>
      </c>
    </row>
    <row r="82" spans="1:9" ht="14">
      <c r="A82" s="1344" t="s">
        <v>4759</v>
      </c>
      <c r="B82" s="1344">
        <v>9507509280</v>
      </c>
      <c r="C82" s="1344" t="s">
        <v>9343</v>
      </c>
      <c r="D82" s="1346">
        <v>46178.8125</v>
      </c>
      <c r="E82" s="1346">
        <v>46178.691296296296</v>
      </c>
      <c r="F82" s="1344" t="s">
        <v>9356</v>
      </c>
      <c r="G82" s="1344" t="s">
        <v>9348</v>
      </c>
      <c r="H82" s="1346">
        <v>46262.583333333336</v>
      </c>
      <c r="I82" s="1346">
        <v>46262.516215277778</v>
      </c>
    </row>
    <row r="83" spans="1:9" ht="14">
      <c r="A83" s="1345" t="s">
        <v>4764</v>
      </c>
      <c r="B83" s="1345">
        <v>6502492780</v>
      </c>
      <c r="C83" s="1345" t="s">
        <v>9343</v>
      </c>
      <c r="D83" s="1347">
        <v>46178.8125</v>
      </c>
      <c r="E83" s="1347">
        <v>46178.691296296296</v>
      </c>
      <c r="F83" s="1345" t="s">
        <v>9345</v>
      </c>
      <c r="G83" s="1345" t="s">
        <v>9348</v>
      </c>
      <c r="H83" s="1347">
        <v>46236.333333333336</v>
      </c>
      <c r="I83" s="1347">
        <v>46236.419953703706</v>
      </c>
    </row>
    <row r="84" spans="1:9" ht="14">
      <c r="A84" s="1344" t="s">
        <v>4785</v>
      </c>
      <c r="B84" s="1344">
        <v>6502493430</v>
      </c>
      <c r="C84" s="1344" t="s">
        <v>123</v>
      </c>
      <c r="D84" s="1346">
        <v>46183.958333333336</v>
      </c>
      <c r="E84" s="1346">
        <v>46183.985844907409</v>
      </c>
      <c r="F84" s="1411"/>
      <c r="G84" s="1344" t="s">
        <v>9353</v>
      </c>
      <c r="H84" s="1346">
        <v>46224.708333333336</v>
      </c>
      <c r="I84" s="1346">
        <v>46224.717939814815</v>
      </c>
    </row>
    <row r="85" spans="1:9" ht="14">
      <c r="A85" s="1345" t="s">
        <v>4789</v>
      </c>
      <c r="B85" s="1345">
        <v>6503351170</v>
      </c>
      <c r="C85" s="1345" t="s">
        <v>123</v>
      </c>
      <c r="D85" s="1347">
        <v>46186.416666666664</v>
      </c>
      <c r="E85" s="1347">
        <v>46186.43677083333</v>
      </c>
      <c r="F85" s="1410"/>
      <c r="G85" s="1345" t="s">
        <v>9349</v>
      </c>
      <c r="H85" s="1347">
        <v>46223.416666666664</v>
      </c>
      <c r="I85" s="1347">
        <v>46223.416238425925</v>
      </c>
    </row>
    <row r="86" spans="1:9" ht="14">
      <c r="A86" s="1344" t="s">
        <v>4804</v>
      </c>
      <c r="B86" s="1344">
        <v>6502941500</v>
      </c>
      <c r="C86" s="1344" t="s">
        <v>123</v>
      </c>
      <c r="D86" s="1346">
        <v>46189.1875</v>
      </c>
      <c r="E86" s="1346">
        <v>46189.219097222223</v>
      </c>
      <c r="F86" s="1411"/>
      <c r="G86" s="1344" t="s">
        <v>9204</v>
      </c>
      <c r="H86" s="1346">
        <v>46245.833333333336</v>
      </c>
      <c r="I86" s="1346">
        <v>46245.821898148148</v>
      </c>
    </row>
    <row r="87" spans="1:9" ht="14">
      <c r="A87" s="1345" t="s">
        <v>4809</v>
      </c>
      <c r="B87" s="1345">
        <v>6503034790</v>
      </c>
      <c r="C87" s="1345" t="s">
        <v>123</v>
      </c>
      <c r="D87" s="1347">
        <v>46192.3125</v>
      </c>
      <c r="E87" s="1347">
        <v>46192.344004629631</v>
      </c>
      <c r="F87" s="1410"/>
      <c r="G87" s="1345" t="s">
        <v>9204</v>
      </c>
      <c r="H87" s="1347">
        <v>46235.125</v>
      </c>
      <c r="I87" s="1347">
        <v>46235.175381944442</v>
      </c>
    </row>
    <row r="88" spans="1:9" ht="14">
      <c r="A88" s="1344" t="s">
        <v>4813</v>
      </c>
      <c r="B88" s="1344">
        <v>6502940030</v>
      </c>
      <c r="C88" s="1344" t="s">
        <v>123</v>
      </c>
      <c r="D88" s="1346">
        <v>46189.1875</v>
      </c>
      <c r="E88" s="1346">
        <v>46189.219097222223</v>
      </c>
      <c r="F88" s="1411"/>
      <c r="G88" s="1344" t="s">
        <v>9351</v>
      </c>
      <c r="H88" s="1346">
        <v>46239.5</v>
      </c>
      <c r="I88" s="1346">
        <v>46239.457638888889</v>
      </c>
    </row>
    <row r="89" spans="1:9" ht="14">
      <c r="A89" s="1345" t="s">
        <v>4821</v>
      </c>
      <c r="B89" s="1345">
        <v>6502586240</v>
      </c>
      <c r="C89" s="1345" t="s">
        <v>123</v>
      </c>
      <c r="D89" s="1347">
        <v>46186.5625</v>
      </c>
      <c r="E89" s="1347">
        <v>46186.583067129628</v>
      </c>
      <c r="F89" s="1345" t="s">
        <v>9346</v>
      </c>
      <c r="G89" s="1345" t="s">
        <v>9347</v>
      </c>
      <c r="H89" s="1347">
        <v>46254.75</v>
      </c>
      <c r="I89" s="1347">
        <v>46254.30159722222</v>
      </c>
    </row>
    <row r="90" spans="1:9" ht="14">
      <c r="A90" s="1344" t="s">
        <v>4827</v>
      </c>
      <c r="B90" s="1344">
        <v>6502958530</v>
      </c>
      <c r="C90" s="1344" t="s">
        <v>123</v>
      </c>
      <c r="D90" s="1346">
        <v>46189.1875</v>
      </c>
      <c r="E90" s="1346">
        <v>46189.219097222223</v>
      </c>
      <c r="F90" s="1411"/>
      <c r="G90" s="1344" t="s">
        <v>9348</v>
      </c>
      <c r="H90" s="1346">
        <v>46250.583333333336</v>
      </c>
      <c r="I90" s="1346">
        <v>46250.44736111111</v>
      </c>
    </row>
    <row r="91" spans="1:9" ht="14">
      <c r="A91" s="1345" t="s">
        <v>4832</v>
      </c>
      <c r="B91" s="1345">
        <v>6502959080</v>
      </c>
      <c r="C91" s="1345" t="s">
        <v>123</v>
      </c>
      <c r="D91" s="1347">
        <v>46189.1875</v>
      </c>
      <c r="E91" s="1347">
        <v>46189.219097222223</v>
      </c>
      <c r="F91" s="1410"/>
      <c r="G91" s="1345" t="s">
        <v>9348</v>
      </c>
      <c r="H91" s="1347">
        <v>46250.583333333336</v>
      </c>
      <c r="I91" s="1347">
        <v>46250.44736111111</v>
      </c>
    </row>
    <row r="92" spans="1:9" ht="14">
      <c r="A92" s="1344" t="s">
        <v>4836</v>
      </c>
      <c r="B92" s="1344">
        <v>6502940840</v>
      </c>
      <c r="C92" s="1344" t="s">
        <v>123</v>
      </c>
      <c r="D92" s="1346">
        <v>46189.1875</v>
      </c>
      <c r="E92" s="1346">
        <v>46189.219097222223</v>
      </c>
      <c r="F92" s="1411"/>
      <c r="G92" s="1344" t="s">
        <v>9348</v>
      </c>
      <c r="H92" s="1346">
        <v>46250.583333333336</v>
      </c>
      <c r="I92" s="1346">
        <v>46250.44736111111</v>
      </c>
    </row>
    <row r="93" spans="1:9" ht="14">
      <c r="A93" s="1345" t="s">
        <v>4842</v>
      </c>
      <c r="B93" s="1345">
        <v>6502627700</v>
      </c>
      <c r="C93" s="1345" t="s">
        <v>123</v>
      </c>
      <c r="D93" s="1347">
        <v>46185.176388888889</v>
      </c>
      <c r="E93" s="1347">
        <v>46185.17696759259</v>
      </c>
      <c r="F93" s="1410"/>
      <c r="G93" s="1345" t="s">
        <v>9348</v>
      </c>
      <c r="H93" s="1347">
        <v>46221.125</v>
      </c>
      <c r="I93" s="1347">
        <v>46221.124722222223</v>
      </c>
    </row>
    <row r="94" spans="1:9" ht="14">
      <c r="A94" s="1344" t="s">
        <v>4881</v>
      </c>
      <c r="B94" s="1344">
        <v>9507638470</v>
      </c>
      <c r="C94" s="1344" t="s">
        <v>9343</v>
      </c>
      <c r="D94" s="1346">
        <v>46187.1875</v>
      </c>
      <c r="E94" s="1346">
        <v>46187.209155092591</v>
      </c>
      <c r="F94" s="1344" t="s">
        <v>123</v>
      </c>
      <c r="G94" s="1344" t="s">
        <v>9349</v>
      </c>
      <c r="H94" s="1346">
        <v>46242.041666666664</v>
      </c>
      <c r="I94" s="1346">
        <v>46241.871620370373</v>
      </c>
    </row>
    <row r="95" spans="1:9" ht="14">
      <c r="A95" s="1345" t="s">
        <v>4887</v>
      </c>
      <c r="B95" s="1345">
        <v>9507649120</v>
      </c>
      <c r="C95" s="1345" t="s">
        <v>9343</v>
      </c>
      <c r="D95" s="1347">
        <v>46187.1875</v>
      </c>
      <c r="E95" s="1347">
        <v>46187.209155092591</v>
      </c>
      <c r="F95" s="1410"/>
      <c r="G95" s="1345" t="s">
        <v>9349</v>
      </c>
      <c r="H95" s="1347">
        <v>46233.8125</v>
      </c>
      <c r="I95" s="1347">
        <v>46233.853298611109</v>
      </c>
    </row>
    <row r="96" spans="1:9" ht="14">
      <c r="A96" s="1344" t="s">
        <v>4900</v>
      </c>
      <c r="B96" s="1344">
        <v>9507636070</v>
      </c>
      <c r="C96" s="1344" t="s">
        <v>9343</v>
      </c>
      <c r="D96" s="1346">
        <v>46187.1875</v>
      </c>
      <c r="E96" s="1346">
        <v>46187.209155092591</v>
      </c>
      <c r="F96" s="1344" t="s">
        <v>9345</v>
      </c>
      <c r="G96" s="1344" t="s">
        <v>9204</v>
      </c>
      <c r="H96" s="1346">
        <v>46259.25</v>
      </c>
      <c r="I96" s="1346">
        <v>46259.238761574074</v>
      </c>
    </row>
    <row r="97" spans="1:9" ht="14">
      <c r="A97" s="1345" t="s">
        <v>4904</v>
      </c>
      <c r="B97" s="1345">
        <v>9507639060</v>
      </c>
      <c r="C97" s="1345" t="s">
        <v>9343</v>
      </c>
      <c r="D97" s="1347">
        <v>46187.1875</v>
      </c>
      <c r="E97" s="1347">
        <v>46187.209155092591</v>
      </c>
      <c r="F97" s="1345" t="s">
        <v>9345</v>
      </c>
      <c r="G97" s="1345" t="s">
        <v>9204</v>
      </c>
      <c r="H97" s="1347">
        <v>46253.541666666664</v>
      </c>
      <c r="I97" s="1347">
        <v>46253.474305555559</v>
      </c>
    </row>
    <row r="98" spans="1:9" ht="14">
      <c r="A98" s="1344" t="s">
        <v>4910</v>
      </c>
      <c r="B98" s="1344">
        <v>9507639000</v>
      </c>
      <c r="C98" s="1344" t="s">
        <v>9343</v>
      </c>
      <c r="D98" s="1346">
        <v>46187.1875</v>
      </c>
      <c r="E98" s="1346">
        <v>46187.209155092591</v>
      </c>
      <c r="F98" s="1344" t="s">
        <v>9345</v>
      </c>
      <c r="G98" s="1344" t="s">
        <v>9348</v>
      </c>
      <c r="H98" s="1346">
        <v>46247.083333333336</v>
      </c>
      <c r="I98" s="1346">
        <v>46247.058229166665</v>
      </c>
    </row>
    <row r="99" spans="1:9" ht="14">
      <c r="A99" s="1345" t="s">
        <v>4914</v>
      </c>
      <c r="B99" s="1345">
        <v>9507638950</v>
      </c>
      <c r="C99" s="1345" t="s">
        <v>9343</v>
      </c>
      <c r="D99" s="1347">
        <v>46187.1875</v>
      </c>
      <c r="E99" s="1347">
        <v>46187.209155092591</v>
      </c>
      <c r="F99" s="1345" t="s">
        <v>123</v>
      </c>
      <c r="G99" s="1345" t="s">
        <v>9348</v>
      </c>
      <c r="H99" s="1347">
        <v>46247.375</v>
      </c>
      <c r="I99" s="1347">
        <v>46247.275509259256</v>
      </c>
    </row>
    <row r="100" spans="1:9" ht="14">
      <c r="A100" s="1344" t="s">
        <v>4920</v>
      </c>
      <c r="B100" s="1344">
        <v>6503989170</v>
      </c>
      <c r="C100" s="1344" t="s">
        <v>123</v>
      </c>
      <c r="D100" s="1346">
        <v>46190.833333333336</v>
      </c>
      <c r="E100" s="1346">
        <v>46190.856678240743</v>
      </c>
      <c r="F100" s="1411"/>
      <c r="G100" s="1344" t="s">
        <v>9353</v>
      </c>
      <c r="H100" s="1346">
        <v>46232.5</v>
      </c>
      <c r="I100" s="1346">
        <v>46232.433854166666</v>
      </c>
    </row>
    <row r="101" spans="1:9" ht="14">
      <c r="A101" s="1345" t="s">
        <v>4924</v>
      </c>
      <c r="B101" s="1345">
        <v>6503863610</v>
      </c>
      <c r="C101" s="1345" t="s">
        <v>123</v>
      </c>
      <c r="D101" s="1347">
        <v>46190.833333333336</v>
      </c>
      <c r="E101" s="1347">
        <v>46190.856678240743</v>
      </c>
      <c r="F101" s="1410"/>
      <c r="G101" s="1345" t="s">
        <v>9353</v>
      </c>
      <c r="H101" s="1347">
        <v>46232.5</v>
      </c>
      <c r="I101" s="1347">
        <v>46232.433854166666</v>
      </c>
    </row>
    <row r="102" spans="1:9" ht="14">
      <c r="A102" s="1344" t="s">
        <v>4929</v>
      </c>
      <c r="B102" s="1344">
        <v>6503246610</v>
      </c>
      <c r="C102" s="1344" t="s">
        <v>123</v>
      </c>
      <c r="D102" s="1346">
        <v>46195.645833333336</v>
      </c>
      <c r="E102" s="1346">
        <v>46195.516574074078</v>
      </c>
      <c r="F102" s="1411"/>
      <c r="G102" s="1344" t="s">
        <v>9349</v>
      </c>
      <c r="H102" s="1346">
        <v>46233.8125</v>
      </c>
      <c r="I102" s="1346">
        <v>46233.853298611109</v>
      </c>
    </row>
    <row r="103" spans="1:9" ht="14">
      <c r="A103" s="1345" t="s">
        <v>4934</v>
      </c>
      <c r="B103" s="1345">
        <v>6503114070</v>
      </c>
      <c r="C103" s="1345" t="s">
        <v>123</v>
      </c>
      <c r="D103" s="1347">
        <v>46189.895833333336</v>
      </c>
      <c r="E103" s="1347">
        <v>46189.683425925927</v>
      </c>
      <c r="F103" s="1410"/>
      <c r="G103" s="1345" t="s">
        <v>9349</v>
      </c>
      <c r="H103" s="1347">
        <v>46239.166666666664</v>
      </c>
      <c r="I103" s="1347">
        <v>46239.203981481478</v>
      </c>
    </row>
    <row r="104" spans="1:9" ht="14">
      <c r="A104" s="1344" t="s">
        <v>4939</v>
      </c>
      <c r="B104" s="1344">
        <v>6503119910</v>
      </c>
      <c r="C104" s="1344" t="s">
        <v>123</v>
      </c>
      <c r="D104" s="1346">
        <v>46190.708333333336</v>
      </c>
      <c r="E104" s="1346">
        <v>46190.726354166669</v>
      </c>
      <c r="F104" s="1411"/>
      <c r="G104" s="1344" t="s">
        <v>9349</v>
      </c>
      <c r="H104" s="1346">
        <v>46234.6875</v>
      </c>
      <c r="I104" s="1346">
        <v>46234.795706018522</v>
      </c>
    </row>
    <row r="105" spans="1:9" ht="14">
      <c r="A105" s="1345" t="s">
        <v>4954</v>
      </c>
      <c r="B105" s="1345">
        <v>6503364860</v>
      </c>
      <c r="C105" s="1345" t="s">
        <v>123</v>
      </c>
      <c r="D105" s="1347">
        <v>46192.3125</v>
      </c>
      <c r="E105" s="1347">
        <v>46192.344004629631</v>
      </c>
      <c r="F105" s="1410"/>
      <c r="G105" s="1345" t="s">
        <v>9204</v>
      </c>
      <c r="H105" s="1347">
        <v>46235.125</v>
      </c>
      <c r="I105" s="1347">
        <v>46235.175381944442</v>
      </c>
    </row>
    <row r="106" spans="1:9" ht="14">
      <c r="A106" s="1344" t="s">
        <v>4970</v>
      </c>
      <c r="B106" s="1344">
        <v>6503741610</v>
      </c>
      <c r="C106" s="1344" t="s">
        <v>123</v>
      </c>
      <c r="D106" s="1346">
        <v>46200.958333333336</v>
      </c>
      <c r="E106" s="1346">
        <v>46200.97996527778</v>
      </c>
      <c r="F106" s="1411"/>
      <c r="G106" s="1344" t="s">
        <v>9204</v>
      </c>
      <c r="H106" s="1346">
        <v>46251.25</v>
      </c>
      <c r="I106" s="1346">
        <v>46250.848819444444</v>
      </c>
    </row>
    <row r="107" spans="1:9" ht="14">
      <c r="A107" s="1345" t="s">
        <v>4979</v>
      </c>
      <c r="B107" s="1345">
        <v>6503527860</v>
      </c>
      <c r="C107" s="1345" t="s">
        <v>123</v>
      </c>
      <c r="D107" s="1347">
        <v>46191.5</v>
      </c>
      <c r="E107" s="1347">
        <v>46191.502662037034</v>
      </c>
      <c r="F107" s="1345" t="s">
        <v>9346</v>
      </c>
      <c r="G107" s="1345" t="s">
        <v>9347</v>
      </c>
      <c r="H107" s="1347">
        <v>46254.75</v>
      </c>
      <c r="I107" s="1347">
        <v>46254.30159722222</v>
      </c>
    </row>
    <row r="108" spans="1:9" ht="14">
      <c r="A108" s="1344" t="s">
        <v>4991</v>
      </c>
      <c r="B108" s="1344">
        <v>9507807450</v>
      </c>
      <c r="C108" s="1344" t="s">
        <v>9343</v>
      </c>
      <c r="D108" s="1346">
        <v>46195.333333333336</v>
      </c>
      <c r="E108" s="1346">
        <v>46195.205069444448</v>
      </c>
      <c r="F108" s="1344" t="s">
        <v>9345</v>
      </c>
      <c r="G108" s="1344" t="s">
        <v>9204</v>
      </c>
      <c r="H108" s="1346">
        <v>46261.25</v>
      </c>
      <c r="I108" s="1346">
        <v>46261.249641203707</v>
      </c>
    </row>
    <row r="109" spans="1:9" ht="14">
      <c r="A109" s="1345" t="s">
        <v>4995</v>
      </c>
      <c r="B109" s="1345">
        <v>9507807520</v>
      </c>
      <c r="C109" s="1345" t="s">
        <v>9343</v>
      </c>
      <c r="D109" s="1347">
        <v>46195.333333333336</v>
      </c>
      <c r="E109" s="1347">
        <v>46195.205069444448</v>
      </c>
      <c r="F109" s="1345" t="s">
        <v>123</v>
      </c>
      <c r="G109" s="1345" t="s">
        <v>9204</v>
      </c>
      <c r="H109" s="1347">
        <v>46271.25</v>
      </c>
      <c r="I109" s="1347">
        <v>46271.279085648152</v>
      </c>
    </row>
    <row r="110" spans="1:9" ht="14">
      <c r="A110" s="1344" t="s">
        <v>5003</v>
      </c>
      <c r="B110" s="1344">
        <v>6504041890</v>
      </c>
      <c r="C110" s="1344" t="s">
        <v>9343</v>
      </c>
      <c r="D110" s="1346">
        <v>46195.333333333336</v>
      </c>
      <c r="E110" s="1346">
        <v>46195.205069444448</v>
      </c>
      <c r="F110" s="1344" t="s">
        <v>123</v>
      </c>
      <c r="G110" s="1344" t="s">
        <v>9353</v>
      </c>
      <c r="H110" s="1346">
        <v>46244.40625</v>
      </c>
      <c r="I110" s="1346">
        <v>46244.405787037038</v>
      </c>
    </row>
    <row r="111" spans="1:9" ht="14">
      <c r="A111" s="1345" t="s">
        <v>5007</v>
      </c>
      <c r="B111" s="1345">
        <v>6504191030</v>
      </c>
      <c r="C111" s="1345" t="s">
        <v>9343</v>
      </c>
      <c r="D111" s="1347">
        <v>46195.333333333336</v>
      </c>
      <c r="E111" s="1347">
        <v>46195.205069444448</v>
      </c>
      <c r="F111" s="1410"/>
      <c r="G111" s="1345" t="s">
        <v>9349</v>
      </c>
      <c r="H111" s="1347">
        <v>46240.020833333336</v>
      </c>
      <c r="I111" s="1347">
        <v>46240.041226851848</v>
      </c>
    </row>
    <row r="112" spans="1:9" ht="14">
      <c r="A112" s="1344" t="s">
        <v>5011</v>
      </c>
      <c r="B112" s="1344">
        <v>6504047380</v>
      </c>
      <c r="C112" s="1344" t="s">
        <v>9343</v>
      </c>
      <c r="D112" s="1346">
        <v>46195.333333333336</v>
      </c>
      <c r="E112" s="1346">
        <v>46195.205069444448</v>
      </c>
      <c r="F112" s="1411"/>
      <c r="G112" s="1344" t="s">
        <v>9349</v>
      </c>
      <c r="H112" s="1346">
        <v>46240.020833333336</v>
      </c>
      <c r="I112" s="1346">
        <v>46240.041226851848</v>
      </c>
    </row>
    <row r="113" spans="1:9" ht="14">
      <c r="A113" s="1345" t="s">
        <v>5016</v>
      </c>
      <c r="B113" s="1345">
        <v>9507807610</v>
      </c>
      <c r="C113" s="1345" t="s">
        <v>9343</v>
      </c>
      <c r="D113" s="1347">
        <v>46195.333333333336</v>
      </c>
      <c r="E113" s="1347">
        <v>46195.205069444448</v>
      </c>
      <c r="F113" s="1345" t="s">
        <v>123</v>
      </c>
      <c r="G113" s="1345" t="s">
        <v>9348</v>
      </c>
      <c r="H113" s="1347">
        <v>46258.375</v>
      </c>
      <c r="I113" s="1347">
        <v>46258.289537037039</v>
      </c>
    </row>
    <row r="114" spans="1:9" ht="14">
      <c r="A114" s="1344" t="s">
        <v>5020</v>
      </c>
      <c r="B114" s="1344">
        <v>9507770280</v>
      </c>
      <c r="C114" s="1344" t="s">
        <v>9343</v>
      </c>
      <c r="D114" s="1346">
        <v>46195.333333333336</v>
      </c>
      <c r="E114" s="1346">
        <v>46195.205069444448</v>
      </c>
      <c r="F114" s="1344" t="s">
        <v>123</v>
      </c>
      <c r="G114" s="1344" t="s">
        <v>9348</v>
      </c>
      <c r="H114" s="1346">
        <v>46275.083333333336</v>
      </c>
      <c r="I114" s="1346">
        <v>46275.045995370368</v>
      </c>
    </row>
    <row r="115" spans="1:9" ht="14">
      <c r="A115" s="1345" t="s">
        <v>5057</v>
      </c>
      <c r="B115" s="1345">
        <v>6504129580</v>
      </c>
      <c r="C115" s="1345" t="s">
        <v>123</v>
      </c>
      <c r="D115" s="1347">
        <v>46203.645833333336</v>
      </c>
      <c r="E115" s="1347">
        <v>46203.667638888888</v>
      </c>
      <c r="F115" s="1410"/>
      <c r="G115" s="1345" t="s">
        <v>9349</v>
      </c>
      <c r="H115" s="1347">
        <v>46240.020833333336</v>
      </c>
      <c r="I115" s="1347">
        <v>46240.041226851848</v>
      </c>
    </row>
    <row r="116" spans="1:9" ht="14">
      <c r="A116" s="1344" t="s">
        <v>5065</v>
      </c>
      <c r="B116" s="1344">
        <v>6503985850</v>
      </c>
      <c r="C116" s="1344" t="s">
        <v>123</v>
      </c>
      <c r="D116" s="1346">
        <v>46197.291666666664</v>
      </c>
      <c r="E116" s="1346">
        <v>46197.343634259261</v>
      </c>
      <c r="F116" s="1411"/>
      <c r="G116" s="1344" t="s">
        <v>9349</v>
      </c>
      <c r="H116" s="1346">
        <v>46242.416666666664</v>
      </c>
      <c r="I116" s="1346">
        <v>46242.416134259256</v>
      </c>
    </row>
    <row r="117" spans="1:9" ht="14">
      <c r="A117" s="1345" t="s">
        <v>5070</v>
      </c>
      <c r="B117" s="1345">
        <v>6503980090</v>
      </c>
      <c r="C117" s="1345" t="s">
        <v>123</v>
      </c>
      <c r="D117" s="1347">
        <v>46196.9375</v>
      </c>
      <c r="E117" s="1347">
        <v>46196.957442129627</v>
      </c>
      <c r="F117" s="1410"/>
      <c r="G117" s="1345" t="s">
        <v>9349</v>
      </c>
      <c r="H117" s="1347">
        <v>46249.416666666664</v>
      </c>
      <c r="I117" s="1347">
        <v>46249.489212962966</v>
      </c>
    </row>
    <row r="118" spans="1:9" ht="14">
      <c r="A118" s="1344" t="s">
        <v>5075</v>
      </c>
      <c r="B118" s="1344">
        <v>6504140950</v>
      </c>
      <c r="C118" s="1344" t="s">
        <v>123</v>
      </c>
      <c r="D118" s="1346">
        <v>46198.875</v>
      </c>
      <c r="E118" s="1346">
        <v>46198.816701388889</v>
      </c>
      <c r="F118" s="1411"/>
      <c r="G118" s="1344" t="s">
        <v>9204</v>
      </c>
      <c r="H118" s="1346">
        <v>46242.25</v>
      </c>
      <c r="I118" s="1346">
        <v>46242.239039351851</v>
      </c>
    </row>
    <row r="119" spans="1:9" ht="14">
      <c r="A119" s="1345" t="s">
        <v>5083</v>
      </c>
      <c r="B119" s="1345">
        <v>6504372270</v>
      </c>
      <c r="C119" s="1345" t="s">
        <v>123</v>
      </c>
      <c r="D119" s="1347">
        <v>46201.604166666664</v>
      </c>
      <c r="E119" s="1347">
        <v>46201.364212962966</v>
      </c>
      <c r="F119" s="1410"/>
      <c r="G119" s="1345" t="s">
        <v>9204</v>
      </c>
      <c r="H119" s="1347">
        <v>46259.25</v>
      </c>
      <c r="I119" s="1347">
        <v>46259.238761574074</v>
      </c>
    </row>
    <row r="120" spans="1:9" ht="14">
      <c r="A120" s="1344" t="s">
        <v>5089</v>
      </c>
      <c r="B120" s="1344">
        <v>6504374270</v>
      </c>
      <c r="C120" s="1344" t="s">
        <v>123</v>
      </c>
      <c r="D120" s="1346">
        <v>46201.604166666664</v>
      </c>
      <c r="E120" s="1346">
        <v>46201.364212962966</v>
      </c>
      <c r="F120" s="1411"/>
      <c r="G120" s="1344" t="s">
        <v>9204</v>
      </c>
      <c r="H120" s="1346">
        <v>46259.25</v>
      </c>
      <c r="I120" s="1346">
        <v>46259.238761574074</v>
      </c>
    </row>
    <row r="121" spans="1:9" ht="14">
      <c r="A121" s="1345" t="s">
        <v>5100</v>
      </c>
      <c r="B121" s="1345">
        <v>6505411160</v>
      </c>
      <c r="C121" s="1345" t="s">
        <v>123</v>
      </c>
      <c r="D121" s="1347">
        <v>46201.604166666664</v>
      </c>
      <c r="E121" s="1347">
        <v>46201.364212962966</v>
      </c>
      <c r="F121" s="1410"/>
      <c r="G121" s="1345" t="s">
        <v>9204</v>
      </c>
      <c r="H121" s="1347">
        <v>46259.25</v>
      </c>
      <c r="I121" s="1347">
        <v>46259.238761574074</v>
      </c>
    </row>
    <row r="122" spans="1:9" ht="14">
      <c r="A122" s="1344" t="s">
        <v>5105</v>
      </c>
      <c r="B122" s="1344">
        <v>6504378210</v>
      </c>
      <c r="C122" s="1344" t="s">
        <v>123</v>
      </c>
      <c r="D122" s="1346">
        <v>46201.604166666664</v>
      </c>
      <c r="E122" s="1346">
        <v>46201.364212962966</v>
      </c>
      <c r="F122" s="1411"/>
      <c r="G122" s="1344" t="s">
        <v>9204</v>
      </c>
      <c r="H122" s="1346">
        <v>46259.25</v>
      </c>
      <c r="I122" s="1346">
        <v>46259.238761574074</v>
      </c>
    </row>
    <row r="123" spans="1:9" ht="14">
      <c r="A123" s="1345" t="s">
        <v>5110</v>
      </c>
      <c r="B123" s="1345">
        <v>6504138100</v>
      </c>
      <c r="C123" s="1345" t="s">
        <v>123</v>
      </c>
      <c r="D123" s="1347">
        <v>46205.708333333336</v>
      </c>
      <c r="E123" s="1347">
        <v>46205.721689814818</v>
      </c>
      <c r="F123" s="1345" t="s">
        <v>9346</v>
      </c>
      <c r="G123" s="1345" t="s">
        <v>9347</v>
      </c>
      <c r="H123" s="1347">
        <v>46264.25</v>
      </c>
      <c r="I123" s="1347">
        <v>46264.627175925925</v>
      </c>
    </row>
    <row r="124" spans="1:9" ht="14">
      <c r="A124" s="1344" t="s">
        <v>5118</v>
      </c>
      <c r="B124" s="1344">
        <v>9507886950</v>
      </c>
      <c r="C124" s="1344" t="s">
        <v>9343</v>
      </c>
      <c r="D124" s="1346">
        <v>46197.666666666664</v>
      </c>
      <c r="E124" s="1346">
        <v>46197.673738425925</v>
      </c>
      <c r="F124" s="1344" t="s">
        <v>5992</v>
      </c>
      <c r="G124" s="1344" t="s">
        <v>9349</v>
      </c>
      <c r="H124" s="1346">
        <v>46262.1875</v>
      </c>
      <c r="I124" s="1346">
        <v>46262.176122685189</v>
      </c>
    </row>
    <row r="125" spans="1:9" ht="14">
      <c r="A125" s="1345" t="s">
        <v>5123</v>
      </c>
      <c r="B125" s="1345">
        <v>9507829660</v>
      </c>
      <c r="C125" s="1345" t="s">
        <v>9343</v>
      </c>
      <c r="D125" s="1347">
        <v>46197.666666666664</v>
      </c>
      <c r="E125" s="1347">
        <v>46197.673738425925</v>
      </c>
      <c r="F125" s="1410"/>
      <c r="G125" s="1345" t="s">
        <v>9349</v>
      </c>
      <c r="H125" s="1347">
        <v>46244.291666666664</v>
      </c>
      <c r="I125" s="1347">
        <v>46244.348958333336</v>
      </c>
    </row>
    <row r="126" spans="1:9" ht="14">
      <c r="A126" s="1344" t="s">
        <v>5127</v>
      </c>
      <c r="B126" s="1344">
        <v>9507886600</v>
      </c>
      <c r="C126" s="1344" t="s">
        <v>9343</v>
      </c>
      <c r="D126" s="1346">
        <v>46197.666666666664</v>
      </c>
      <c r="E126" s="1346">
        <v>46197.673738425925</v>
      </c>
      <c r="F126" s="1344" t="s">
        <v>9345</v>
      </c>
      <c r="G126" s="1344" t="s">
        <v>9204</v>
      </c>
      <c r="H126" s="1346">
        <v>46278.083333333336</v>
      </c>
      <c r="I126" s="1346">
        <v>46278.186840277776</v>
      </c>
    </row>
    <row r="127" spans="1:9" ht="14">
      <c r="A127" s="1345" t="s">
        <v>5131</v>
      </c>
      <c r="B127" s="1345">
        <v>9507886780</v>
      </c>
      <c r="C127" s="1345" t="s">
        <v>9343</v>
      </c>
      <c r="D127" s="1347">
        <v>46197.666666666664</v>
      </c>
      <c r="E127" s="1347">
        <v>46197.673738425925</v>
      </c>
      <c r="F127" s="1345" t="s">
        <v>9345</v>
      </c>
      <c r="G127" s="1345" t="s">
        <v>9204</v>
      </c>
      <c r="H127" s="1347">
        <v>46272.833333333336</v>
      </c>
      <c r="I127" s="1347">
        <v>46272.644375000003</v>
      </c>
    </row>
    <row r="128" spans="1:9" ht="14">
      <c r="A128" s="1344" t="s">
        <v>5136</v>
      </c>
      <c r="B128" s="1344">
        <v>6504801500</v>
      </c>
      <c r="C128" s="1344" t="s">
        <v>9343</v>
      </c>
      <c r="D128" s="1346">
        <v>46197.666666666664</v>
      </c>
      <c r="E128" s="1346">
        <v>46197.673738425925</v>
      </c>
      <c r="F128" s="1344" t="s">
        <v>9345</v>
      </c>
      <c r="G128" s="1344" t="s">
        <v>9353</v>
      </c>
      <c r="H128" s="1346">
        <v>46253.75</v>
      </c>
      <c r="I128" s="1346">
        <v>46253.739166666666</v>
      </c>
    </row>
    <row r="129" spans="1:9" ht="14">
      <c r="A129" s="1345" t="s">
        <v>5140</v>
      </c>
      <c r="B129" s="1345">
        <v>9507886860</v>
      </c>
      <c r="C129" s="1345" t="s">
        <v>9343</v>
      </c>
      <c r="D129" s="1347">
        <v>46197.666666666664</v>
      </c>
      <c r="E129" s="1347">
        <v>46197.673738425925</v>
      </c>
      <c r="F129" s="1345" t="s">
        <v>9345</v>
      </c>
      <c r="G129" s="1345" t="s">
        <v>9204</v>
      </c>
      <c r="H129" s="1347">
        <v>46272.833333333336</v>
      </c>
      <c r="I129" s="1347">
        <v>46272.644375000003</v>
      </c>
    </row>
    <row r="130" spans="1:9" ht="14">
      <c r="A130" s="1344" t="s">
        <v>5161</v>
      </c>
      <c r="B130" s="1344">
        <v>6505324630</v>
      </c>
      <c r="C130" s="1344" t="s">
        <v>123</v>
      </c>
      <c r="D130" s="1346">
        <v>46204.1875</v>
      </c>
      <c r="E130" s="1346">
        <v>46204.208078703705</v>
      </c>
      <c r="F130" s="1411"/>
      <c r="G130" s="1344" t="s">
        <v>9353</v>
      </c>
      <c r="H130" s="1346">
        <v>46256.458333333336</v>
      </c>
      <c r="I130" s="1346">
        <v>46256.481874999998</v>
      </c>
    </row>
    <row r="131" spans="1:9" ht="14">
      <c r="A131" s="1345" t="s">
        <v>5166</v>
      </c>
      <c r="B131" s="1345">
        <v>6503833660</v>
      </c>
      <c r="C131" s="1345" t="s">
        <v>123</v>
      </c>
      <c r="D131" s="1347">
        <v>46204.1875</v>
      </c>
      <c r="E131" s="1347">
        <v>46204.208078703705</v>
      </c>
      <c r="F131" s="1410"/>
      <c r="G131" s="1345" t="s">
        <v>9353</v>
      </c>
      <c r="H131" s="1347">
        <v>46256.458333333336</v>
      </c>
      <c r="I131" s="1347">
        <v>46256.481874999998</v>
      </c>
    </row>
    <row r="132" spans="1:9" ht="14">
      <c r="A132" s="1344" t="s">
        <v>5171</v>
      </c>
      <c r="B132" s="1344">
        <v>6505377920</v>
      </c>
      <c r="C132" s="1344" t="s">
        <v>123</v>
      </c>
      <c r="D132" s="1346">
        <v>46206.25</v>
      </c>
      <c r="E132" s="1346">
        <v>46206.24690972222</v>
      </c>
      <c r="F132" s="1411"/>
      <c r="G132" s="1344" t="s">
        <v>9349</v>
      </c>
      <c r="H132" s="1346">
        <v>46244.291666666664</v>
      </c>
      <c r="I132" s="1346">
        <v>46244.348958333336</v>
      </c>
    </row>
    <row r="133" spans="1:9" ht="14">
      <c r="A133" s="1345" t="s">
        <v>5178</v>
      </c>
      <c r="B133" s="1345">
        <v>6505017200</v>
      </c>
      <c r="C133" s="1345" t="s">
        <v>123</v>
      </c>
      <c r="D133" s="1347">
        <v>46221.5</v>
      </c>
      <c r="E133" s="1347">
        <v>46220.527777777781</v>
      </c>
      <c r="F133" s="1410"/>
      <c r="G133" s="1345" t="s">
        <v>9349</v>
      </c>
      <c r="H133" s="1347">
        <v>46260.5</v>
      </c>
      <c r="I133" s="1347">
        <v>46260.57949074074</v>
      </c>
    </row>
    <row r="134" spans="1:9" ht="14">
      <c r="A134" s="1344" t="s">
        <v>5182</v>
      </c>
      <c r="B134" s="1344">
        <v>6504983950</v>
      </c>
      <c r="C134" s="1344" t="s">
        <v>123</v>
      </c>
      <c r="D134" s="1346">
        <v>46206.25</v>
      </c>
      <c r="E134" s="1346">
        <v>46206.24690972222</v>
      </c>
      <c r="F134" s="1411"/>
      <c r="G134" s="1344" t="s">
        <v>9349</v>
      </c>
      <c r="H134" s="1346">
        <v>46244.291666666664</v>
      </c>
      <c r="I134" s="1346">
        <v>46244.348958333336</v>
      </c>
    </row>
    <row r="135" spans="1:9" ht="14">
      <c r="A135" s="1345" t="s">
        <v>5188</v>
      </c>
      <c r="B135" s="1345">
        <v>6505404590</v>
      </c>
      <c r="C135" s="1345" t="s">
        <v>123</v>
      </c>
      <c r="D135" s="1347">
        <v>46206.25</v>
      </c>
      <c r="E135" s="1347">
        <v>46206.24690972222</v>
      </c>
      <c r="F135" s="1410"/>
      <c r="G135" s="1345" t="s">
        <v>9349</v>
      </c>
      <c r="H135" s="1347">
        <v>46244.291666666664</v>
      </c>
      <c r="I135" s="1347">
        <v>46244.348958333336</v>
      </c>
    </row>
    <row r="136" spans="1:9" ht="14">
      <c r="A136" s="1344" t="s">
        <v>5194</v>
      </c>
      <c r="B136" s="1344">
        <v>6504989080</v>
      </c>
      <c r="C136" s="1344" t="s">
        <v>123</v>
      </c>
      <c r="D136" s="1346">
        <v>46209.875</v>
      </c>
      <c r="E136" s="1346">
        <v>46209.833182870374</v>
      </c>
      <c r="F136" s="1411"/>
      <c r="G136" s="1344" t="s">
        <v>9204</v>
      </c>
      <c r="H136" s="1346">
        <v>46253.541666666664</v>
      </c>
      <c r="I136" s="1346">
        <v>46253.474305555559</v>
      </c>
    </row>
    <row r="137" spans="1:9" ht="14">
      <c r="A137" s="1345" t="s">
        <v>5203</v>
      </c>
      <c r="B137" s="1345">
        <v>6505067030</v>
      </c>
      <c r="C137" s="1345" t="s">
        <v>123</v>
      </c>
      <c r="D137" s="1347">
        <v>46211.5</v>
      </c>
      <c r="E137" s="1347">
        <v>46211.386006944442</v>
      </c>
      <c r="F137" s="1410"/>
      <c r="G137" s="1345" t="s">
        <v>9204</v>
      </c>
      <c r="H137" s="1347">
        <v>46271.25</v>
      </c>
      <c r="I137" s="1347">
        <v>46271.279085648152</v>
      </c>
    </row>
    <row r="138" spans="1:9" ht="14">
      <c r="A138" s="1344" t="s">
        <v>5210</v>
      </c>
      <c r="B138" s="1344">
        <v>6505066450</v>
      </c>
      <c r="C138" s="1344" t="s">
        <v>123</v>
      </c>
      <c r="D138" s="1346">
        <v>46211.5</v>
      </c>
      <c r="E138" s="1346">
        <v>46211.386006944442</v>
      </c>
      <c r="F138" s="1411"/>
      <c r="G138" s="1344" t="s">
        <v>9204</v>
      </c>
      <c r="H138" s="1346">
        <v>46271.25</v>
      </c>
      <c r="I138" s="1346">
        <v>46271.279085648152</v>
      </c>
    </row>
    <row r="139" spans="1:9" ht="14">
      <c r="A139" s="1345" t="s">
        <v>5216</v>
      </c>
      <c r="B139" s="1345">
        <v>6505066890</v>
      </c>
      <c r="C139" s="1345" t="s">
        <v>123</v>
      </c>
      <c r="D139" s="1347">
        <v>46211.5</v>
      </c>
      <c r="E139" s="1347">
        <v>46211.386006944442</v>
      </c>
      <c r="F139" s="1410"/>
      <c r="G139" s="1345" t="s">
        <v>9204</v>
      </c>
      <c r="H139" s="1347">
        <v>46271.25</v>
      </c>
      <c r="I139" s="1347">
        <v>46271.279085648152</v>
      </c>
    </row>
    <row r="140" spans="1:9" ht="14">
      <c r="A140" s="1344" t="s">
        <v>5226</v>
      </c>
      <c r="B140" s="1344">
        <v>6504142070</v>
      </c>
      <c r="C140" s="1344" t="s">
        <v>123</v>
      </c>
      <c r="D140" s="1346">
        <v>46207.75</v>
      </c>
      <c r="E140" s="1346">
        <v>46207.798136574071</v>
      </c>
      <c r="F140" s="1411"/>
      <c r="G140" s="1344" t="s">
        <v>9348</v>
      </c>
      <c r="H140" s="1346">
        <v>46258.375</v>
      </c>
      <c r="I140" s="1346">
        <v>46258.289537037039</v>
      </c>
    </row>
    <row r="141" spans="1:9" ht="14">
      <c r="A141" s="1345" t="s">
        <v>5234</v>
      </c>
      <c r="B141" s="1345">
        <v>6504385010</v>
      </c>
      <c r="C141" s="1345" t="s">
        <v>123</v>
      </c>
      <c r="D141" s="1347">
        <v>46207.75</v>
      </c>
      <c r="E141" s="1347">
        <v>46207.798136574071</v>
      </c>
      <c r="F141" s="1345" t="s">
        <v>9346</v>
      </c>
      <c r="G141" s="1345" t="s">
        <v>9347</v>
      </c>
      <c r="H141" s="1347">
        <v>46272.25</v>
      </c>
      <c r="I141" s="1347">
        <v>46272.251446759263</v>
      </c>
    </row>
    <row r="142" spans="1:9" ht="14">
      <c r="A142" s="1344" t="s">
        <v>5240</v>
      </c>
      <c r="B142" s="1344">
        <v>6505756530</v>
      </c>
      <c r="C142" s="1344" t="s">
        <v>9343</v>
      </c>
      <c r="D142" s="1346">
        <v>46210.333333333336</v>
      </c>
      <c r="E142" s="1346">
        <v>46210.350694444445</v>
      </c>
      <c r="F142" s="1344" t="s">
        <v>5992</v>
      </c>
      <c r="G142" s="1344" t="s">
        <v>9353</v>
      </c>
      <c r="H142" s="1346">
        <v>46264.041666666664</v>
      </c>
      <c r="I142" s="1346">
        <v>46263.989421296297</v>
      </c>
    </row>
    <row r="143" spans="1:9" ht="14">
      <c r="A143" s="1345" t="s">
        <v>5244</v>
      </c>
      <c r="B143" s="1345">
        <v>6505906290</v>
      </c>
      <c r="C143" s="1345" t="s">
        <v>9343</v>
      </c>
      <c r="D143" s="1347">
        <v>46210.333333333336</v>
      </c>
      <c r="E143" s="1347">
        <v>46210.350694444445</v>
      </c>
      <c r="F143" s="1345" t="s">
        <v>9357</v>
      </c>
      <c r="G143" s="1345" t="s">
        <v>9352</v>
      </c>
      <c r="H143" s="1347">
        <v>46275.291666666664</v>
      </c>
      <c r="I143" s="1347">
        <v>46275.245208333334</v>
      </c>
    </row>
    <row r="144" spans="1:9" ht="14">
      <c r="A144" s="1344" t="s">
        <v>5249</v>
      </c>
      <c r="B144" s="1344">
        <v>9507951690</v>
      </c>
      <c r="C144" s="1344" t="s">
        <v>9343</v>
      </c>
      <c r="D144" s="1346">
        <v>46202.125</v>
      </c>
      <c r="E144" s="1346">
        <v>46202.135266203702</v>
      </c>
      <c r="F144" s="1411"/>
      <c r="G144" s="1344" t="s">
        <v>9349</v>
      </c>
      <c r="H144" s="1346">
        <v>46253.416666666664</v>
      </c>
      <c r="I144" s="1346">
        <v>46253.479062500002</v>
      </c>
    </row>
    <row r="145" spans="1:9" ht="14">
      <c r="A145" s="1345" t="s">
        <v>5256</v>
      </c>
      <c r="B145" s="1345">
        <v>9507977520</v>
      </c>
      <c r="C145" s="1345" t="s">
        <v>9343</v>
      </c>
      <c r="D145" s="1347">
        <v>46202.125</v>
      </c>
      <c r="E145" s="1347">
        <v>46202.135266203702</v>
      </c>
      <c r="F145" s="1345" t="s">
        <v>5992</v>
      </c>
      <c r="G145" s="1345" t="s">
        <v>9349</v>
      </c>
      <c r="H145" s="1347">
        <v>46291.166666666664</v>
      </c>
      <c r="I145" s="1412"/>
    </row>
    <row r="146" spans="1:9" ht="14">
      <c r="A146" s="1344" t="s">
        <v>5260</v>
      </c>
      <c r="B146" s="1344">
        <v>6505349280</v>
      </c>
      <c r="C146" s="1344" t="s">
        <v>9343</v>
      </c>
      <c r="D146" s="1346">
        <v>46202.125</v>
      </c>
      <c r="E146" s="1346">
        <v>46202.135266203702</v>
      </c>
      <c r="F146" s="1344" t="s">
        <v>9345</v>
      </c>
      <c r="G146" s="1344" t="s">
        <v>9353</v>
      </c>
      <c r="H146" s="1346">
        <v>46274.999305555553</v>
      </c>
      <c r="I146" s="1346">
        <v>46275.009525462963</v>
      </c>
    </row>
    <row r="147" spans="1:9" ht="14">
      <c r="A147" s="1345" t="s">
        <v>5275</v>
      </c>
      <c r="B147" s="1345">
        <v>6505925840</v>
      </c>
      <c r="C147" s="1345" t="s">
        <v>123</v>
      </c>
      <c r="D147" s="1347">
        <v>46219.0625</v>
      </c>
      <c r="E147" s="1347">
        <v>46219.103425925925</v>
      </c>
      <c r="F147" s="1410"/>
      <c r="G147" s="1345" t="s">
        <v>9354</v>
      </c>
      <c r="H147" s="1347">
        <v>46264.541666666664</v>
      </c>
      <c r="I147" s="1347">
        <v>46264.676631944443</v>
      </c>
    </row>
    <row r="148" spans="1:9" ht="14">
      <c r="A148" s="1344" t="s">
        <v>5279</v>
      </c>
      <c r="B148" s="1344">
        <v>6505587010</v>
      </c>
      <c r="C148" s="1344" t="s">
        <v>123</v>
      </c>
      <c r="D148" s="1346">
        <v>46212.9375</v>
      </c>
      <c r="E148" s="1346">
        <v>46212.958078703705</v>
      </c>
      <c r="F148" s="1411"/>
      <c r="G148" s="1344" t="s">
        <v>9349</v>
      </c>
      <c r="H148" s="1346">
        <v>46253.416666666664</v>
      </c>
      <c r="I148" s="1346">
        <v>46253.479062500002</v>
      </c>
    </row>
    <row r="149" spans="1:9" ht="14">
      <c r="A149" s="1345" t="s">
        <v>5286</v>
      </c>
      <c r="B149" s="1345">
        <v>6505608500</v>
      </c>
      <c r="C149" s="1345" t="s">
        <v>123</v>
      </c>
      <c r="D149" s="1347">
        <v>46212.9375</v>
      </c>
      <c r="E149" s="1347">
        <v>46212.958078703705</v>
      </c>
      <c r="F149" s="1410"/>
      <c r="G149" s="1345" t="s">
        <v>9349</v>
      </c>
      <c r="H149" s="1347">
        <v>46253.416666666664</v>
      </c>
      <c r="I149" s="1347">
        <v>46253.479062500002</v>
      </c>
    </row>
    <row r="150" spans="1:9" ht="14">
      <c r="A150" s="1344" t="s">
        <v>5291</v>
      </c>
      <c r="B150" s="1344">
        <v>6505588390</v>
      </c>
      <c r="C150" s="1344" t="s">
        <v>123</v>
      </c>
      <c r="D150" s="1346">
        <v>46221.5</v>
      </c>
      <c r="E150" s="1346">
        <v>46220.527777777781</v>
      </c>
      <c r="F150" s="1411"/>
      <c r="G150" s="1344" t="s">
        <v>9349</v>
      </c>
      <c r="H150" s="1346">
        <v>46260.5</v>
      </c>
      <c r="I150" s="1346">
        <v>46260.57949074074</v>
      </c>
    </row>
    <row r="151" spans="1:9" ht="14">
      <c r="A151" s="1345" t="s">
        <v>5297</v>
      </c>
      <c r="B151" s="1345">
        <v>6505914680</v>
      </c>
      <c r="C151" s="1345" t="s">
        <v>123</v>
      </c>
      <c r="D151" s="1347">
        <v>46227.3125</v>
      </c>
      <c r="E151" s="1347">
        <v>46227.336087962962</v>
      </c>
      <c r="F151" s="1410"/>
      <c r="G151" s="1345" t="s">
        <v>9351</v>
      </c>
      <c r="H151" s="1347">
        <v>46274.333333333336</v>
      </c>
      <c r="I151" s="1347">
        <v>46274.416041666664</v>
      </c>
    </row>
    <row r="152" spans="1:9" ht="14">
      <c r="A152" s="1344" t="s">
        <v>5305</v>
      </c>
      <c r="B152" s="1344">
        <v>6505913620</v>
      </c>
      <c r="C152" s="1344" t="s">
        <v>123</v>
      </c>
      <c r="D152" s="1346">
        <v>46227.3125</v>
      </c>
      <c r="E152" s="1346">
        <v>46227.336087962962</v>
      </c>
      <c r="F152" s="1411"/>
      <c r="G152" s="1344" t="s">
        <v>9204</v>
      </c>
      <c r="H152" s="1346">
        <v>46278.083333333336</v>
      </c>
      <c r="I152" s="1346">
        <v>46278.186840277776</v>
      </c>
    </row>
    <row r="153" spans="1:9" ht="14">
      <c r="A153" s="1345" t="s">
        <v>5319</v>
      </c>
      <c r="B153" s="1345">
        <v>6507195960</v>
      </c>
      <c r="C153" s="1345" t="s">
        <v>123</v>
      </c>
      <c r="D153" s="1347">
        <v>46227.3125</v>
      </c>
      <c r="E153" s="1347">
        <v>46227.336087962962</v>
      </c>
      <c r="F153" s="1410"/>
      <c r="G153" s="1345" t="s">
        <v>9204</v>
      </c>
      <c r="H153" s="1347">
        <v>46278.083333333336</v>
      </c>
      <c r="I153" s="1347">
        <v>46278.186840277776</v>
      </c>
    </row>
    <row r="154" spans="1:9" ht="14">
      <c r="A154" s="1344" t="s">
        <v>5325</v>
      </c>
      <c r="B154" s="1344">
        <v>6505912480</v>
      </c>
      <c r="C154" s="1344" t="s">
        <v>123</v>
      </c>
      <c r="D154" s="1346">
        <v>46232</v>
      </c>
      <c r="E154" s="1346">
        <v>46232.027199074073</v>
      </c>
      <c r="F154" s="1411"/>
      <c r="G154" s="1344" t="s">
        <v>9204</v>
      </c>
      <c r="H154" s="1346">
        <v>46272.833333333336</v>
      </c>
      <c r="I154" s="1346">
        <v>46272.644375000003</v>
      </c>
    </row>
    <row r="155" spans="1:9" ht="14">
      <c r="A155" s="1345" t="s">
        <v>5338</v>
      </c>
      <c r="B155" s="1345">
        <v>6505915770</v>
      </c>
      <c r="C155" s="1345" t="s">
        <v>123</v>
      </c>
      <c r="D155" s="1347">
        <v>46219.958333333336</v>
      </c>
      <c r="E155" s="1347">
        <v>46220.011817129627</v>
      </c>
      <c r="F155" s="1410"/>
      <c r="G155" s="1345" t="s">
        <v>9348</v>
      </c>
      <c r="H155" s="1347">
        <v>46267.791666666664</v>
      </c>
      <c r="I155" s="1347">
        <v>46268.28087962963</v>
      </c>
    </row>
    <row r="156" spans="1:9" ht="14">
      <c r="A156" s="1344" t="s">
        <v>5346</v>
      </c>
      <c r="B156" s="1344">
        <v>9508140760</v>
      </c>
      <c r="C156" s="1344" t="s">
        <v>9343</v>
      </c>
      <c r="D156" s="1346">
        <v>46213.020833333336</v>
      </c>
      <c r="E156" s="1346">
        <v>46213.041493055556</v>
      </c>
      <c r="F156" s="1344" t="s">
        <v>9358</v>
      </c>
      <c r="G156" s="1344" t="s">
        <v>9347</v>
      </c>
      <c r="H156" s="1346">
        <v>46298.75</v>
      </c>
      <c r="I156" s="1413"/>
    </row>
    <row r="157" spans="1:9" ht="14">
      <c r="A157" s="1345" t="s">
        <v>5351</v>
      </c>
      <c r="B157" s="1345">
        <v>9508147070</v>
      </c>
      <c r="C157" s="1345" t="s">
        <v>9343</v>
      </c>
      <c r="D157" s="1347">
        <v>46213.020833333336</v>
      </c>
      <c r="E157" s="1347">
        <v>46213.041493055556</v>
      </c>
      <c r="F157" s="1345" t="s">
        <v>123</v>
      </c>
      <c r="G157" s="1345" t="s">
        <v>9204</v>
      </c>
      <c r="H157" s="1347">
        <v>46285.041666666664</v>
      </c>
      <c r="I157" s="1412"/>
    </row>
    <row r="158" spans="1:9" ht="14">
      <c r="A158" s="1344" t="s">
        <v>5356</v>
      </c>
      <c r="B158" s="1344">
        <v>9508147071</v>
      </c>
      <c r="C158" s="1344" t="s">
        <v>9343</v>
      </c>
      <c r="D158" s="1346">
        <v>46213.020833333336</v>
      </c>
      <c r="E158" s="1346">
        <v>46213.041493055556</v>
      </c>
      <c r="F158" s="1344" t="s">
        <v>123</v>
      </c>
      <c r="G158" s="1344" t="s">
        <v>9204</v>
      </c>
      <c r="H158" s="1346">
        <v>46285.041666666664</v>
      </c>
      <c r="I158" s="1413"/>
    </row>
    <row r="159" spans="1:9" ht="14">
      <c r="A159" s="1345" t="s">
        <v>5361</v>
      </c>
      <c r="B159" s="1345">
        <v>9508147081</v>
      </c>
      <c r="C159" s="1345" t="s">
        <v>9343</v>
      </c>
      <c r="D159" s="1347">
        <v>46213.020833333336</v>
      </c>
      <c r="E159" s="1347">
        <v>46213.041493055556</v>
      </c>
      <c r="F159" s="1345" t="s">
        <v>123</v>
      </c>
      <c r="G159" s="1345" t="s">
        <v>9204</v>
      </c>
      <c r="H159" s="1347">
        <v>46289.25</v>
      </c>
      <c r="I159" s="1412"/>
    </row>
    <row r="160" spans="1:9" ht="14">
      <c r="A160" s="1344" t="s">
        <v>5366</v>
      </c>
      <c r="B160" s="1344">
        <v>9508147080</v>
      </c>
      <c r="C160" s="1344" t="s">
        <v>9343</v>
      </c>
      <c r="D160" s="1346">
        <v>46213.020833333336</v>
      </c>
      <c r="E160" s="1346">
        <v>46213.041493055556</v>
      </c>
      <c r="F160" s="1344" t="s">
        <v>123</v>
      </c>
      <c r="G160" s="1344" t="s">
        <v>9204</v>
      </c>
      <c r="H160" s="1346">
        <v>46289.25</v>
      </c>
      <c r="I160" s="1413"/>
    </row>
    <row r="161" spans="1:9" ht="14">
      <c r="A161" s="1345" t="s">
        <v>5372</v>
      </c>
      <c r="B161" s="1345">
        <v>6506450380</v>
      </c>
      <c r="C161" s="1345" t="s">
        <v>123</v>
      </c>
      <c r="D161" s="1347">
        <v>46223.3125</v>
      </c>
      <c r="E161" s="1347">
        <v>46223.347905092596</v>
      </c>
      <c r="F161" s="1345" t="s">
        <v>9359</v>
      </c>
      <c r="G161" s="1345" t="s">
        <v>9354</v>
      </c>
      <c r="H161" s="1347">
        <v>46285.25</v>
      </c>
      <c r="I161" s="1412"/>
    </row>
    <row r="162" spans="1:9" ht="14">
      <c r="A162" s="1344" t="s">
        <v>5379</v>
      </c>
      <c r="B162" s="1344">
        <v>6507018050</v>
      </c>
      <c r="C162" s="1344" t="s">
        <v>123</v>
      </c>
      <c r="D162" s="1346">
        <v>46219.0625</v>
      </c>
      <c r="E162" s="1346">
        <v>46219.103425925925</v>
      </c>
      <c r="F162" s="1411"/>
      <c r="G162" s="1344" t="s">
        <v>9353</v>
      </c>
      <c r="H162" s="1346">
        <v>46253.75</v>
      </c>
      <c r="I162" s="1346">
        <v>46253.739166666666</v>
      </c>
    </row>
    <row r="163" spans="1:9" ht="14">
      <c r="A163" s="1345" t="s">
        <v>5385</v>
      </c>
      <c r="B163" s="1345">
        <v>6507790480</v>
      </c>
      <c r="C163" s="1345" t="s">
        <v>123</v>
      </c>
      <c r="D163" s="1347">
        <v>46231.479166666664</v>
      </c>
      <c r="E163" s="1347">
        <v>46231.502453703702</v>
      </c>
      <c r="F163" s="1410"/>
      <c r="G163" s="1345" t="s">
        <v>9349</v>
      </c>
      <c r="H163" s="1347">
        <v>46266.041666666664</v>
      </c>
      <c r="I163" s="1347">
        <v>46265.971226851849</v>
      </c>
    </row>
    <row r="164" spans="1:9" ht="14">
      <c r="A164" s="1344" t="s">
        <v>5392</v>
      </c>
      <c r="B164" s="1344">
        <v>6507666250</v>
      </c>
      <c r="C164" s="1344" t="s">
        <v>123</v>
      </c>
      <c r="D164" s="1346">
        <v>46231.479166666664</v>
      </c>
      <c r="E164" s="1346">
        <v>46231.502453703702</v>
      </c>
      <c r="F164" s="1411"/>
      <c r="G164" s="1344" t="s">
        <v>9349</v>
      </c>
      <c r="H164" s="1346">
        <v>46266.041666666664</v>
      </c>
      <c r="I164" s="1346">
        <v>46265.971226851849</v>
      </c>
    </row>
    <row r="165" spans="1:9" ht="14">
      <c r="A165" s="1345" t="s">
        <v>5400</v>
      </c>
      <c r="B165" s="1345">
        <v>6508738520</v>
      </c>
      <c r="C165" s="1345" t="s">
        <v>123</v>
      </c>
      <c r="D165" s="1347">
        <v>46231.479166666664</v>
      </c>
      <c r="E165" s="1347">
        <v>46231.502453703702</v>
      </c>
      <c r="F165" s="1410"/>
      <c r="G165" s="1345" t="s">
        <v>9349</v>
      </c>
      <c r="H165" s="1347">
        <v>46266.041666666664</v>
      </c>
      <c r="I165" s="1347">
        <v>46265.971226851849</v>
      </c>
    </row>
    <row r="166" spans="1:9" ht="14">
      <c r="A166" s="1344" t="s">
        <v>5406</v>
      </c>
      <c r="B166" s="1344">
        <v>6506729920</v>
      </c>
      <c r="C166" s="1344" t="s">
        <v>123</v>
      </c>
      <c r="D166" s="1346">
        <v>46221.5</v>
      </c>
      <c r="E166" s="1346">
        <v>46220.527777777781</v>
      </c>
      <c r="F166" s="1411"/>
      <c r="G166" s="1344" t="s">
        <v>9349</v>
      </c>
      <c r="H166" s="1346">
        <v>46260.5</v>
      </c>
      <c r="I166" s="1346">
        <v>46260.57949074074</v>
      </c>
    </row>
    <row r="167" spans="1:9" ht="14">
      <c r="A167" s="1345" t="s">
        <v>5413</v>
      </c>
      <c r="B167" s="1345">
        <v>6506730240</v>
      </c>
      <c r="C167" s="1345" t="s">
        <v>123</v>
      </c>
      <c r="D167" s="1347">
        <v>46223.3125</v>
      </c>
      <c r="E167" s="1347">
        <v>46223.347905092596</v>
      </c>
      <c r="F167" s="1410"/>
      <c r="G167" s="1345" t="s">
        <v>9349</v>
      </c>
      <c r="H167" s="1347">
        <v>46274.291666666664</v>
      </c>
      <c r="I167" s="1347">
        <v>46274.338287037041</v>
      </c>
    </row>
    <row r="168" spans="1:9" ht="14">
      <c r="A168" s="1344" t="s">
        <v>5438</v>
      </c>
      <c r="B168" s="1344">
        <v>6506929700</v>
      </c>
      <c r="C168" s="1344" t="s">
        <v>123</v>
      </c>
      <c r="D168" s="1346">
        <v>46227.3125</v>
      </c>
      <c r="E168" s="1346">
        <v>46227.336087962962</v>
      </c>
      <c r="F168" s="1411"/>
      <c r="G168" s="1344" t="s">
        <v>9204</v>
      </c>
      <c r="H168" s="1346">
        <v>46278.083333333336</v>
      </c>
      <c r="I168" s="1346">
        <v>46278.186840277776</v>
      </c>
    </row>
    <row r="169" spans="1:9" ht="14">
      <c r="A169" s="1345" t="s">
        <v>5444</v>
      </c>
      <c r="B169" s="1345">
        <v>6506899540</v>
      </c>
      <c r="C169" s="1345" t="s">
        <v>123</v>
      </c>
      <c r="D169" s="1347">
        <v>46227.3125</v>
      </c>
      <c r="E169" s="1347">
        <v>46227.336087962962</v>
      </c>
      <c r="F169" s="1410"/>
      <c r="G169" s="1345" t="s">
        <v>9204</v>
      </c>
      <c r="H169" s="1347">
        <v>46278.083333333336</v>
      </c>
      <c r="I169" s="1347">
        <v>46278.186840277776</v>
      </c>
    </row>
    <row r="170" spans="1:9" ht="14">
      <c r="A170" s="1344" t="s">
        <v>5453</v>
      </c>
      <c r="B170" s="1344">
        <v>6506928990</v>
      </c>
      <c r="C170" s="1344" t="s">
        <v>123</v>
      </c>
      <c r="D170" s="1346">
        <v>46227.3125</v>
      </c>
      <c r="E170" s="1346">
        <v>46227.336087962962</v>
      </c>
      <c r="F170" s="1411"/>
      <c r="G170" s="1344" t="s">
        <v>9204</v>
      </c>
      <c r="H170" s="1346">
        <v>46278.083333333336</v>
      </c>
      <c r="I170" s="1346">
        <v>46278.186840277776</v>
      </c>
    </row>
    <row r="171" spans="1:9" ht="14">
      <c r="A171" s="1345" t="s">
        <v>5461</v>
      </c>
      <c r="B171" s="1345">
        <v>6506932230</v>
      </c>
      <c r="C171" s="1345" t="s">
        <v>123</v>
      </c>
      <c r="D171" s="1347">
        <v>46232</v>
      </c>
      <c r="E171" s="1347">
        <v>46232.027199074073</v>
      </c>
      <c r="F171" s="1410"/>
      <c r="G171" s="1345" t="s">
        <v>9204</v>
      </c>
      <c r="H171" s="1347">
        <v>46272.833333333336</v>
      </c>
      <c r="I171" s="1347">
        <v>46272.644375000003</v>
      </c>
    </row>
    <row r="172" spans="1:9" ht="14">
      <c r="A172" s="1344" t="s">
        <v>5467</v>
      </c>
      <c r="B172" s="1344">
        <v>6506596440</v>
      </c>
      <c r="C172" s="1344" t="s">
        <v>123</v>
      </c>
      <c r="D172" s="1346">
        <v>46232</v>
      </c>
      <c r="E172" s="1346">
        <v>46232.027199074073</v>
      </c>
      <c r="F172" s="1411"/>
      <c r="G172" s="1344" t="s">
        <v>9204</v>
      </c>
      <c r="H172" s="1346">
        <v>46272.833333333336</v>
      </c>
      <c r="I172" s="1346">
        <v>46272.644375000003</v>
      </c>
    </row>
    <row r="173" spans="1:9" ht="14">
      <c r="A173" s="1345" t="s">
        <v>5481</v>
      </c>
      <c r="B173" s="1345">
        <v>9508260330</v>
      </c>
      <c r="C173" s="1345" t="s">
        <v>9343</v>
      </c>
      <c r="D173" s="1347">
        <v>46219.847222222219</v>
      </c>
      <c r="E173" s="1347">
        <v>46219.833506944444</v>
      </c>
      <c r="F173" s="1345" t="s">
        <v>9345</v>
      </c>
      <c r="G173" s="1345" t="s">
        <v>9204</v>
      </c>
      <c r="H173" s="1347">
        <v>46297.916666666664</v>
      </c>
      <c r="I173" s="1412"/>
    </row>
    <row r="174" spans="1:9" ht="14">
      <c r="A174" s="1344" t="s">
        <v>5485</v>
      </c>
      <c r="B174" s="1344">
        <v>9508260600</v>
      </c>
      <c r="C174" s="1344" t="s">
        <v>9343</v>
      </c>
      <c r="D174" s="1346">
        <v>46219.847222222219</v>
      </c>
      <c r="E174" s="1346">
        <v>46219.833506944444</v>
      </c>
      <c r="F174" s="1344" t="s">
        <v>9345</v>
      </c>
      <c r="G174" s="1344" t="s">
        <v>9204</v>
      </c>
      <c r="H174" s="1346">
        <v>46282.833333333336</v>
      </c>
      <c r="I174" s="1413"/>
    </row>
    <row r="175" spans="1:9" ht="14">
      <c r="A175" s="1345" t="s">
        <v>5489</v>
      </c>
      <c r="B175" s="1345">
        <v>9508255560</v>
      </c>
      <c r="C175" s="1345" t="s">
        <v>9343</v>
      </c>
      <c r="D175" s="1347">
        <v>46219.847222222219</v>
      </c>
      <c r="E175" s="1347">
        <v>46219.833506944444</v>
      </c>
      <c r="F175" s="1410"/>
      <c r="G175" s="1345" t="s">
        <v>9349</v>
      </c>
      <c r="H175" s="1347">
        <v>46266.041666666664</v>
      </c>
      <c r="I175" s="1347">
        <v>46265.971226851849</v>
      </c>
    </row>
    <row r="176" spans="1:9" ht="14">
      <c r="A176" s="1344" t="s">
        <v>5494</v>
      </c>
      <c r="B176" s="1344">
        <v>9508259840</v>
      </c>
      <c r="C176" s="1344" t="s">
        <v>9343</v>
      </c>
      <c r="D176" s="1346">
        <v>46219.847222222219</v>
      </c>
      <c r="E176" s="1346">
        <v>46219.833506944444</v>
      </c>
      <c r="F176" s="1344" t="s">
        <v>9358</v>
      </c>
      <c r="G176" s="1344" t="s">
        <v>9347</v>
      </c>
      <c r="H176" s="1346">
        <v>46306.75</v>
      </c>
      <c r="I176" s="1413"/>
    </row>
    <row r="177" spans="1:9" ht="14">
      <c r="A177" s="1345" t="s">
        <v>5499</v>
      </c>
      <c r="B177" s="1345">
        <v>6507754600</v>
      </c>
      <c r="C177" s="1345" t="s">
        <v>123</v>
      </c>
      <c r="D177" s="1347">
        <v>46228.166666666664</v>
      </c>
      <c r="E177" s="1347">
        <v>46228.194085648145</v>
      </c>
      <c r="F177" s="1410"/>
      <c r="G177" s="1345" t="s">
        <v>9353</v>
      </c>
      <c r="H177" s="1347">
        <v>46274.999305555553</v>
      </c>
      <c r="I177" s="1347">
        <v>46275.009525462963</v>
      </c>
    </row>
    <row r="178" spans="1:9" ht="14">
      <c r="A178" s="1344" t="s">
        <v>5503</v>
      </c>
      <c r="B178" s="1344">
        <v>6507727180</v>
      </c>
      <c r="C178" s="1344" t="s">
        <v>123</v>
      </c>
      <c r="D178" s="1346">
        <v>46228.166666666664</v>
      </c>
      <c r="E178" s="1346">
        <v>46228.194085648145</v>
      </c>
      <c r="F178" s="1411"/>
      <c r="G178" s="1344" t="s">
        <v>9353</v>
      </c>
      <c r="H178" s="1346">
        <v>46274.999305555553</v>
      </c>
      <c r="I178" s="1346">
        <v>46275.009525462963</v>
      </c>
    </row>
    <row r="179" spans="1:9" ht="14">
      <c r="A179" s="1345" t="s">
        <v>5509</v>
      </c>
      <c r="B179" s="1345">
        <v>6507885650</v>
      </c>
      <c r="C179" s="1345" t="s">
        <v>123</v>
      </c>
      <c r="D179" s="1347">
        <v>46225.208333333336</v>
      </c>
      <c r="E179" s="1347">
        <v>46225.247291666667</v>
      </c>
      <c r="F179" s="1410"/>
      <c r="G179" s="1345" t="s">
        <v>9349</v>
      </c>
      <c r="H179" s="1347">
        <v>46270.833333333336</v>
      </c>
      <c r="I179" s="1347">
        <v>46270.874618055554</v>
      </c>
    </row>
    <row r="180" spans="1:9" ht="14">
      <c r="A180" s="1344" t="s">
        <v>5516</v>
      </c>
      <c r="B180" s="1344">
        <v>6507266890</v>
      </c>
      <c r="C180" s="1344" t="s">
        <v>123</v>
      </c>
      <c r="D180" s="1346">
        <v>46236.25</v>
      </c>
      <c r="E180" s="1346">
        <v>46236.259745370371</v>
      </c>
      <c r="F180" s="1411"/>
      <c r="G180" s="1344" t="s">
        <v>9351</v>
      </c>
      <c r="H180" s="1346">
        <v>46288.291666666664</v>
      </c>
      <c r="I180" s="1413"/>
    </row>
    <row r="181" spans="1:9" ht="14">
      <c r="A181" s="1345" t="s">
        <v>5522</v>
      </c>
      <c r="B181" s="1345">
        <v>6507883400</v>
      </c>
      <c r="C181" s="1345" t="s">
        <v>123</v>
      </c>
      <c r="D181" s="1347">
        <v>46236.25</v>
      </c>
      <c r="E181" s="1347">
        <v>46236.259745370371</v>
      </c>
      <c r="F181" s="1410"/>
      <c r="G181" s="1345" t="s">
        <v>9204</v>
      </c>
      <c r="H181" s="1347">
        <v>46285.041666666664</v>
      </c>
      <c r="I181" s="1412"/>
    </row>
    <row r="182" spans="1:9" ht="14">
      <c r="A182" s="1344" t="s">
        <v>5531</v>
      </c>
      <c r="B182" s="1344">
        <v>6508803190</v>
      </c>
      <c r="C182" s="1344" t="s">
        <v>123</v>
      </c>
      <c r="D182" s="1346">
        <v>46236.25</v>
      </c>
      <c r="E182" s="1346">
        <v>46236.259745370371</v>
      </c>
      <c r="F182" s="1411"/>
      <c r="G182" s="1344" t="s">
        <v>9204</v>
      </c>
      <c r="H182" s="1346">
        <v>46285.041666666664</v>
      </c>
      <c r="I182" s="1413"/>
    </row>
    <row r="183" spans="1:9" ht="14">
      <c r="A183" s="1345" t="s">
        <v>5542</v>
      </c>
      <c r="B183" s="1345">
        <v>6507751580</v>
      </c>
      <c r="C183" s="1345" t="s">
        <v>123</v>
      </c>
      <c r="D183" s="1347">
        <v>46236.25</v>
      </c>
      <c r="E183" s="1347">
        <v>46236.259745370371</v>
      </c>
      <c r="F183" s="1410"/>
      <c r="G183" s="1345" t="s">
        <v>9348</v>
      </c>
      <c r="H183" s="1347">
        <v>46291.541666666664</v>
      </c>
      <c r="I183" s="1412"/>
    </row>
    <row r="184" spans="1:9" ht="14">
      <c r="A184" s="1344" t="s">
        <v>5548</v>
      </c>
      <c r="B184" s="1344">
        <v>6507752990</v>
      </c>
      <c r="C184" s="1344" t="s">
        <v>123</v>
      </c>
      <c r="D184" s="1346">
        <v>46233.708333333336</v>
      </c>
      <c r="E184" s="1346">
        <v>46233.663472222222</v>
      </c>
      <c r="F184" s="1411"/>
      <c r="G184" s="1344" t="s">
        <v>9348</v>
      </c>
      <c r="H184" s="1346">
        <v>46280.541666666664</v>
      </c>
      <c r="I184" s="1413"/>
    </row>
    <row r="185" spans="1:9" ht="14">
      <c r="A185" s="1345" t="s">
        <v>5557</v>
      </c>
      <c r="B185" s="1345">
        <v>6507753540</v>
      </c>
      <c r="C185" s="1345" t="s">
        <v>123</v>
      </c>
      <c r="D185" s="1347">
        <v>46233.708333333336</v>
      </c>
      <c r="E185" s="1347">
        <v>46233.663472222222</v>
      </c>
      <c r="F185" s="1410"/>
      <c r="G185" s="1345" t="s">
        <v>9348</v>
      </c>
      <c r="H185" s="1347">
        <v>46280.541666666664</v>
      </c>
      <c r="I185" s="1412"/>
    </row>
    <row r="186" spans="1:9" ht="14">
      <c r="A186" s="1344" t="s">
        <v>5564</v>
      </c>
      <c r="B186" s="1344">
        <v>9508345820</v>
      </c>
      <c r="C186" s="1344" t="s">
        <v>9343</v>
      </c>
      <c r="D186" s="1346">
        <v>46225.833333333336</v>
      </c>
      <c r="E186" s="1346">
        <v>46225.845682870371</v>
      </c>
      <c r="F186" s="1344" t="s">
        <v>9345</v>
      </c>
      <c r="G186" s="1344" t="s">
        <v>9204</v>
      </c>
      <c r="H186" s="1346">
        <v>46313.791666666664</v>
      </c>
      <c r="I186" s="1413"/>
    </row>
    <row r="187" spans="1:9" ht="14">
      <c r="A187" s="1345" t="s">
        <v>5568</v>
      </c>
      <c r="B187" s="1345">
        <v>9508345960</v>
      </c>
      <c r="C187" s="1345" t="s">
        <v>9343</v>
      </c>
      <c r="D187" s="1347">
        <v>46225.833333333336</v>
      </c>
      <c r="E187" s="1347">
        <v>46225.845682870371</v>
      </c>
      <c r="F187" s="1345" t="s">
        <v>9345</v>
      </c>
      <c r="G187" s="1345" t="s">
        <v>9204</v>
      </c>
      <c r="H187" s="1347">
        <v>46289.25</v>
      </c>
      <c r="I187" s="1412"/>
    </row>
    <row r="188" spans="1:9" ht="14">
      <c r="A188" s="1344" t="s">
        <v>5574</v>
      </c>
      <c r="B188" s="1344">
        <v>9508353580</v>
      </c>
      <c r="C188" s="1344" t="s">
        <v>9343</v>
      </c>
      <c r="D188" s="1346">
        <v>46225.833333333336</v>
      </c>
      <c r="E188" s="1346">
        <v>46225.845682870371</v>
      </c>
      <c r="F188" s="1411"/>
      <c r="G188" s="1344" t="s">
        <v>9349</v>
      </c>
      <c r="H188" s="1346">
        <v>46270.645833333336</v>
      </c>
      <c r="I188" s="1346">
        <v>46270.66238425926</v>
      </c>
    </row>
    <row r="189" spans="1:9" ht="14">
      <c r="A189" s="1345" t="s">
        <v>5581</v>
      </c>
      <c r="B189" s="1345">
        <v>9508346010</v>
      </c>
      <c r="C189" s="1345" t="s">
        <v>9343</v>
      </c>
      <c r="D189" s="1347">
        <v>46225.833333333336</v>
      </c>
      <c r="E189" s="1347">
        <v>46225.845682870371</v>
      </c>
      <c r="F189" s="1345" t="s">
        <v>9360</v>
      </c>
      <c r="G189" s="1345" t="s">
        <v>9347</v>
      </c>
      <c r="H189" s="1347">
        <v>46298.75</v>
      </c>
      <c r="I189" s="1412"/>
    </row>
    <row r="190" spans="1:9" ht="14">
      <c r="A190" s="1344" t="s">
        <v>5586</v>
      </c>
      <c r="B190" s="1344">
        <v>6507915250</v>
      </c>
      <c r="C190" s="1344" t="s">
        <v>123</v>
      </c>
      <c r="D190" s="1346">
        <v>46231.479166666664</v>
      </c>
      <c r="E190" s="1346">
        <v>46231.502453703702</v>
      </c>
      <c r="F190" s="1411"/>
      <c r="G190" s="1344" t="s">
        <v>9349</v>
      </c>
      <c r="H190" s="1346">
        <v>46266.041666666664</v>
      </c>
      <c r="I190" s="1346">
        <v>46265.971226851849</v>
      </c>
    </row>
    <row r="191" spans="1:9" ht="14">
      <c r="A191" s="1345" t="s">
        <v>5602</v>
      </c>
      <c r="B191" s="1345">
        <v>6508479150</v>
      </c>
      <c r="C191" s="1345" t="s">
        <v>123</v>
      </c>
      <c r="D191" s="1347">
        <v>46232.125</v>
      </c>
      <c r="E191" s="1347">
        <v>46232.170578703706</v>
      </c>
      <c r="F191" s="1410"/>
      <c r="G191" s="1345" t="s">
        <v>9349</v>
      </c>
      <c r="H191" s="1347">
        <v>46279.083333333336</v>
      </c>
      <c r="I191" s="1347">
        <v>46279.139525462961</v>
      </c>
    </row>
    <row r="192" spans="1:9" ht="14">
      <c r="A192" s="1344" t="s">
        <v>5607</v>
      </c>
      <c r="B192" s="1344">
        <v>6508016810</v>
      </c>
      <c r="C192" s="1344" t="s">
        <v>123</v>
      </c>
      <c r="D192" s="1346">
        <v>46232</v>
      </c>
      <c r="E192" s="1346">
        <v>46232.027199074073</v>
      </c>
      <c r="F192" s="1411"/>
      <c r="G192" s="1344" t="s">
        <v>9204</v>
      </c>
      <c r="H192" s="1346">
        <v>46272.833333333336</v>
      </c>
      <c r="I192" s="1346">
        <v>46272.644375000003</v>
      </c>
    </row>
    <row r="193" spans="1:9" ht="14">
      <c r="A193" s="1345" t="s">
        <v>5612</v>
      </c>
      <c r="B193" s="1345">
        <v>9508462360</v>
      </c>
      <c r="C193" s="1345" t="s">
        <v>5992</v>
      </c>
      <c r="D193" s="1347">
        <v>46234.145833333336</v>
      </c>
      <c r="E193" s="1347">
        <v>46234.034502314818</v>
      </c>
      <c r="F193" s="1410"/>
      <c r="G193" s="1345" t="s">
        <v>9353</v>
      </c>
      <c r="H193" s="1347">
        <v>46274.999305555553</v>
      </c>
      <c r="I193" s="1347">
        <v>46275.009525462963</v>
      </c>
    </row>
    <row r="194" spans="1:9" ht="14">
      <c r="A194" s="1344" t="s">
        <v>5616</v>
      </c>
      <c r="B194" s="1344">
        <v>9508463160</v>
      </c>
      <c r="C194" s="1344" t="s">
        <v>5992</v>
      </c>
      <c r="D194" s="1346">
        <v>46232.958333333336</v>
      </c>
      <c r="E194" s="1346">
        <v>46232.984756944446</v>
      </c>
      <c r="F194" s="1411"/>
      <c r="G194" s="1344" t="s">
        <v>9349</v>
      </c>
      <c r="H194" s="1346">
        <v>46270.645833333336</v>
      </c>
      <c r="I194" s="1346">
        <v>46270.66238425926</v>
      </c>
    </row>
    <row r="195" spans="1:9" ht="14">
      <c r="A195" s="1345" t="s">
        <v>5621</v>
      </c>
      <c r="B195" s="1345">
        <v>9508462510</v>
      </c>
      <c r="C195" s="1345" t="s">
        <v>5992</v>
      </c>
      <c r="D195" s="1347">
        <v>46234.53125</v>
      </c>
      <c r="E195" s="1347">
        <v>46234.573657407411</v>
      </c>
      <c r="F195" s="1410"/>
      <c r="G195" s="1345" t="s">
        <v>9349</v>
      </c>
      <c r="H195" s="1347">
        <v>46275.083333333336</v>
      </c>
      <c r="I195" s="1347">
        <v>46275.088877314818</v>
      </c>
    </row>
    <row r="196" spans="1:9" ht="14">
      <c r="A196" s="1344" t="s">
        <v>5629</v>
      </c>
      <c r="B196" s="1344">
        <v>9508444890</v>
      </c>
      <c r="C196" s="1344" t="s">
        <v>5992</v>
      </c>
      <c r="D196" s="1346">
        <v>46232.8125</v>
      </c>
      <c r="E196" s="1346">
        <v>46232.832314814812</v>
      </c>
      <c r="F196" s="1411"/>
      <c r="G196" s="1344" t="s">
        <v>9204</v>
      </c>
      <c r="H196" s="1346">
        <v>46276.625</v>
      </c>
      <c r="I196" s="1346">
        <v>46276.681458333333</v>
      </c>
    </row>
    <row r="197" spans="1:9" ht="14">
      <c r="A197" s="1345" t="s">
        <v>5633</v>
      </c>
      <c r="B197" s="1345">
        <v>9508457230</v>
      </c>
      <c r="C197" s="1345" t="s">
        <v>5992</v>
      </c>
      <c r="D197" s="1347">
        <v>46240.802083333336</v>
      </c>
      <c r="E197" s="1347">
        <v>46240.833252314813</v>
      </c>
      <c r="F197" s="1410"/>
      <c r="G197" s="1345" t="s">
        <v>9204</v>
      </c>
      <c r="H197" s="1347">
        <v>46285.041666666664</v>
      </c>
      <c r="I197" s="1412"/>
    </row>
    <row r="198" spans="1:9" ht="14">
      <c r="A198" s="1344" t="s">
        <v>5638</v>
      </c>
      <c r="B198" s="1344">
        <v>9508475300</v>
      </c>
      <c r="C198" s="1344" t="s">
        <v>5992</v>
      </c>
      <c r="D198" s="1346">
        <v>46255.875</v>
      </c>
      <c r="E198" s="1346">
        <v>46255.885057870371</v>
      </c>
      <c r="F198" s="1411"/>
      <c r="G198" s="1344" t="s">
        <v>9204</v>
      </c>
      <c r="H198" s="1346">
        <v>46313.791666666664</v>
      </c>
      <c r="I198" s="1413"/>
    </row>
    <row r="199" spans="1:9" ht="14">
      <c r="A199" s="1345" t="s">
        <v>5643</v>
      </c>
      <c r="B199" s="1345">
        <v>6508263600</v>
      </c>
      <c r="C199" s="1345" t="s">
        <v>5992</v>
      </c>
      <c r="D199" s="1347">
        <v>46230.385416666664</v>
      </c>
      <c r="E199" s="1347">
        <v>46230.367858796293</v>
      </c>
      <c r="F199" s="1345" t="s">
        <v>9348</v>
      </c>
      <c r="G199" s="1345" t="s">
        <v>9204</v>
      </c>
      <c r="H199" s="1347">
        <v>46297.75</v>
      </c>
      <c r="I199" s="1412"/>
    </row>
    <row r="200" spans="1:9" ht="14">
      <c r="A200" s="1344" t="s">
        <v>5648</v>
      </c>
      <c r="B200" s="1344">
        <v>9508539600</v>
      </c>
      <c r="C200" s="1344" t="s">
        <v>5992</v>
      </c>
      <c r="D200" s="1346">
        <v>46237.5625</v>
      </c>
      <c r="E200" s="1346">
        <v>46237.471828703703</v>
      </c>
      <c r="F200" s="1411"/>
      <c r="G200" s="1344" t="s">
        <v>9348</v>
      </c>
      <c r="H200" s="1346">
        <v>46280.541666666664</v>
      </c>
      <c r="I200" s="1413"/>
    </row>
    <row r="201" spans="1:9" ht="14">
      <c r="A201" s="1345" t="s">
        <v>5653</v>
      </c>
      <c r="B201" s="1345">
        <v>6507918470</v>
      </c>
      <c r="C201" s="1345" t="s">
        <v>9343</v>
      </c>
      <c r="D201" s="1347">
        <v>46229.333333333336</v>
      </c>
      <c r="E201" s="1347">
        <v>46229.344398148147</v>
      </c>
      <c r="F201" s="1345" t="s">
        <v>123</v>
      </c>
      <c r="G201" s="1345" t="s">
        <v>9353</v>
      </c>
      <c r="H201" s="1347">
        <v>46290.458333333336</v>
      </c>
      <c r="I201" s="1412"/>
    </row>
    <row r="202" spans="1:9" ht="14">
      <c r="A202" s="1344" t="s">
        <v>5657</v>
      </c>
      <c r="B202" s="1344">
        <v>9508471420</v>
      </c>
      <c r="C202" s="1344" t="s">
        <v>9343</v>
      </c>
      <c r="D202" s="1346">
        <v>46229.333333333336</v>
      </c>
      <c r="E202" s="1346">
        <v>46229.344398148147</v>
      </c>
      <c r="F202" s="1411"/>
      <c r="G202" s="1344" t="s">
        <v>9349</v>
      </c>
      <c r="H202" s="1346">
        <v>46279.958333333336</v>
      </c>
      <c r="I202" s="1413"/>
    </row>
    <row r="203" spans="1:9" ht="14">
      <c r="A203" s="1345" t="s">
        <v>5666</v>
      </c>
      <c r="B203" s="1345">
        <v>6508644310</v>
      </c>
      <c r="C203" s="1345" t="s">
        <v>123</v>
      </c>
      <c r="D203" s="1347">
        <v>46239.25</v>
      </c>
      <c r="E203" s="1347">
        <v>46239.274942129632</v>
      </c>
      <c r="F203" s="1410"/>
      <c r="G203" s="1345" t="s">
        <v>9353</v>
      </c>
      <c r="H203" s="1347">
        <v>46286.375</v>
      </c>
      <c r="I203" s="1412"/>
    </row>
    <row r="204" spans="1:9" ht="14">
      <c r="A204" s="1344" t="s">
        <v>5670</v>
      </c>
      <c r="B204" s="1344">
        <v>6508646060</v>
      </c>
      <c r="C204" s="1344" t="s">
        <v>123</v>
      </c>
      <c r="D204" s="1346">
        <v>46239.25</v>
      </c>
      <c r="E204" s="1346">
        <v>46239.274942129632</v>
      </c>
      <c r="F204" s="1411"/>
      <c r="G204" s="1344" t="s">
        <v>9353</v>
      </c>
      <c r="H204" s="1346">
        <v>46286.375</v>
      </c>
      <c r="I204" s="1413"/>
    </row>
    <row r="205" spans="1:9" ht="14">
      <c r="A205" s="1345" t="s">
        <v>5701</v>
      </c>
      <c r="B205" s="1345">
        <v>6508616170</v>
      </c>
      <c r="C205" s="1345" t="s">
        <v>123</v>
      </c>
      <c r="D205" s="1347">
        <v>46240.333333333336</v>
      </c>
      <c r="E205" s="1347">
        <v>46240.230393518519</v>
      </c>
      <c r="F205" s="1410"/>
      <c r="G205" s="1345" t="s">
        <v>9349</v>
      </c>
      <c r="H205" s="1347">
        <v>46279.958333333336</v>
      </c>
      <c r="I205" s="1412"/>
    </row>
    <row r="206" spans="1:9" ht="14">
      <c r="A206" s="1344" t="s">
        <v>5705</v>
      </c>
      <c r="B206" s="1344">
        <v>6508644840</v>
      </c>
      <c r="C206" s="1344" t="s">
        <v>123</v>
      </c>
      <c r="D206" s="1346">
        <v>46240.333333333336</v>
      </c>
      <c r="E206" s="1346">
        <v>46240.230393518519</v>
      </c>
      <c r="F206" s="1411"/>
      <c r="G206" s="1344" t="s">
        <v>9349</v>
      </c>
      <c r="H206" s="1346">
        <v>46279.958333333336</v>
      </c>
      <c r="I206" s="1346">
        <v>46279.935393518521</v>
      </c>
    </row>
    <row r="207" spans="1:9" ht="14">
      <c r="A207" s="1345" t="s">
        <v>5715</v>
      </c>
      <c r="B207" s="1345">
        <v>6508515860</v>
      </c>
      <c r="C207" s="1345" t="s">
        <v>123</v>
      </c>
      <c r="D207" s="1347">
        <v>46240.875</v>
      </c>
      <c r="E207" s="1347">
        <v>46240.874942129631</v>
      </c>
      <c r="F207" s="1410"/>
      <c r="G207" s="1345" t="s">
        <v>9349</v>
      </c>
      <c r="H207" s="1347">
        <v>46283.041666666664</v>
      </c>
      <c r="I207" s="1412"/>
    </row>
    <row r="208" spans="1:9" ht="14">
      <c r="A208" s="1344" t="s">
        <v>5722</v>
      </c>
      <c r="B208" s="1344">
        <v>6509178440</v>
      </c>
      <c r="C208" s="1344" t="s">
        <v>123</v>
      </c>
      <c r="D208" s="1346">
        <v>46263.4375</v>
      </c>
      <c r="E208" s="1346">
        <v>46263.48333333333</v>
      </c>
      <c r="F208" s="1411"/>
      <c r="G208" s="1344" t="s">
        <v>9351</v>
      </c>
      <c r="H208" s="1346">
        <v>46315.083333333336</v>
      </c>
      <c r="I208" s="1413"/>
    </row>
    <row r="209" spans="1:9" ht="14">
      <c r="A209" s="1345" t="s">
        <v>5726</v>
      </c>
      <c r="B209" s="1345">
        <v>6509176590</v>
      </c>
      <c r="C209" s="1345" t="s">
        <v>123</v>
      </c>
      <c r="D209" s="1347">
        <v>46263.4375</v>
      </c>
      <c r="E209" s="1347">
        <v>46263.48333333333</v>
      </c>
      <c r="F209" s="1410"/>
      <c r="G209" s="1345" t="s">
        <v>9204</v>
      </c>
      <c r="H209" s="1347">
        <v>46317.75</v>
      </c>
      <c r="I209" s="1412"/>
    </row>
    <row r="210" spans="1:9" ht="14">
      <c r="A210" s="1344" t="s">
        <v>5737</v>
      </c>
      <c r="B210" s="1344">
        <v>6508944020</v>
      </c>
      <c r="C210" s="1344" t="s">
        <v>123</v>
      </c>
      <c r="D210" s="1346">
        <v>46241.770833333336</v>
      </c>
      <c r="E210" s="1346">
        <v>46241.8122337963</v>
      </c>
      <c r="F210" s="1344" t="s">
        <v>9355</v>
      </c>
      <c r="G210" s="1344" t="s">
        <v>9204</v>
      </c>
      <c r="H210" s="1346">
        <v>46282.833333333336</v>
      </c>
      <c r="I210" s="1413"/>
    </row>
    <row r="211" spans="1:9" ht="14">
      <c r="A211" s="1345" t="s">
        <v>5742</v>
      </c>
      <c r="B211" s="1345">
        <v>6508516880</v>
      </c>
      <c r="C211" s="1345" t="s">
        <v>123</v>
      </c>
      <c r="D211" s="1347">
        <v>46241.770833333336</v>
      </c>
      <c r="E211" s="1347">
        <v>46241.8122337963</v>
      </c>
      <c r="F211" s="1410"/>
      <c r="G211" s="1345" t="s">
        <v>9348</v>
      </c>
      <c r="H211" s="1347">
        <v>46300.5</v>
      </c>
      <c r="I211" s="1412"/>
    </row>
    <row r="212" spans="1:9" ht="14">
      <c r="A212" s="1344" t="s">
        <v>5758</v>
      </c>
      <c r="B212" s="1344">
        <v>9508541790</v>
      </c>
      <c r="C212" s="1344" t="s">
        <v>5992</v>
      </c>
      <c r="D212" s="1346">
        <v>46246.375</v>
      </c>
      <c r="E212" s="1346">
        <v>46246.423298611109</v>
      </c>
      <c r="F212" s="1411"/>
      <c r="G212" s="1344" t="s">
        <v>9349</v>
      </c>
      <c r="H212" s="1346">
        <v>46279.958333333336</v>
      </c>
      <c r="I212" s="1413"/>
    </row>
    <row r="213" spans="1:9" ht="14">
      <c r="A213" s="1345" t="s">
        <v>5763</v>
      </c>
      <c r="B213" s="1345">
        <v>6509574920</v>
      </c>
      <c r="C213" s="1345" t="s">
        <v>5992</v>
      </c>
      <c r="D213" s="1347">
        <v>46239.75</v>
      </c>
      <c r="E213" s="1347">
        <v>46239.791562500002</v>
      </c>
      <c r="F213" s="1410"/>
      <c r="G213" s="1345" t="s">
        <v>9204</v>
      </c>
      <c r="H213" s="1347">
        <v>46282.833333333336</v>
      </c>
      <c r="I213" s="1412"/>
    </row>
    <row r="214" spans="1:9" ht="14">
      <c r="A214" s="1344" t="s">
        <v>5767</v>
      </c>
      <c r="B214" s="1344">
        <v>9508762540</v>
      </c>
      <c r="C214" s="1344" t="s">
        <v>5992</v>
      </c>
      <c r="D214" s="1346">
        <v>46241.541666666664</v>
      </c>
      <c r="E214" s="1346">
        <v>46241.557245370372</v>
      </c>
      <c r="F214" s="1411"/>
      <c r="G214" s="1344" t="s">
        <v>9348</v>
      </c>
      <c r="H214" s="1346">
        <v>46283.833333333336</v>
      </c>
      <c r="I214" s="1413"/>
    </row>
    <row r="215" spans="1:9" ht="14">
      <c r="A215" s="1345" t="s">
        <v>5797</v>
      </c>
      <c r="B215" s="1345">
        <v>6508495770</v>
      </c>
      <c r="C215" s="1345" t="s">
        <v>9343</v>
      </c>
      <c r="D215" s="1347">
        <v>46236.145833333336</v>
      </c>
      <c r="E215" s="1347">
        <v>46236.170567129629</v>
      </c>
      <c r="F215" s="1345" t="s">
        <v>123</v>
      </c>
      <c r="G215" s="1345" t="s">
        <v>9353</v>
      </c>
      <c r="H215" s="1347">
        <v>46297.291666666664</v>
      </c>
      <c r="I215" s="1412"/>
    </row>
    <row r="216" spans="1:9" ht="14">
      <c r="A216" s="1344" t="s">
        <v>5801</v>
      </c>
      <c r="B216" s="1344">
        <v>6508664430</v>
      </c>
      <c r="C216" s="1344" t="s">
        <v>9343</v>
      </c>
      <c r="D216" s="1346">
        <v>46236.145833333336</v>
      </c>
      <c r="E216" s="1346">
        <v>46236.170567129629</v>
      </c>
      <c r="F216" s="1344" t="s">
        <v>123</v>
      </c>
      <c r="G216" s="1344" t="s">
        <v>9353</v>
      </c>
      <c r="H216" s="1346">
        <v>46297.291666666664</v>
      </c>
      <c r="I216" s="1413"/>
    </row>
    <row r="217" spans="1:9" ht="14">
      <c r="A217" s="1345" t="s">
        <v>5812</v>
      </c>
      <c r="B217" s="1345">
        <v>9508614640</v>
      </c>
      <c r="C217" s="1345" t="s">
        <v>9343</v>
      </c>
      <c r="D217" s="1347">
        <v>46236.145833333336</v>
      </c>
      <c r="E217" s="1347">
        <v>46236.170567129629</v>
      </c>
      <c r="F217" s="1410"/>
      <c r="G217" s="1345" t="s">
        <v>9349</v>
      </c>
      <c r="H217" s="1347">
        <v>46284.427083333336</v>
      </c>
      <c r="I217" s="1412"/>
    </row>
    <row r="218" spans="1:9" ht="14">
      <c r="A218" s="1344" t="s">
        <v>5818</v>
      </c>
      <c r="B218" s="1344">
        <v>9508583080</v>
      </c>
      <c r="C218" s="1344" t="s">
        <v>9343</v>
      </c>
      <c r="D218" s="1346">
        <v>46236.145833333336</v>
      </c>
      <c r="E218" s="1346">
        <v>46236.170567129629</v>
      </c>
      <c r="F218" s="1344" t="s">
        <v>9345</v>
      </c>
      <c r="G218" s="1344" t="s">
        <v>9204</v>
      </c>
      <c r="H218" s="1346">
        <v>46317.75</v>
      </c>
      <c r="I218" s="1413"/>
    </row>
    <row r="219" spans="1:9" ht="14">
      <c r="A219" s="1345" t="s">
        <v>5822</v>
      </c>
      <c r="B219" s="1345">
        <v>9508583110</v>
      </c>
      <c r="C219" s="1345" t="s">
        <v>9343</v>
      </c>
      <c r="D219" s="1347">
        <v>46236.145833333336</v>
      </c>
      <c r="E219" s="1347">
        <v>46236.170567129629</v>
      </c>
      <c r="F219" s="1345" t="s">
        <v>9345</v>
      </c>
      <c r="G219" s="1345" t="s">
        <v>9204</v>
      </c>
      <c r="H219" s="1347">
        <v>46297.75</v>
      </c>
      <c r="I219" s="1412"/>
    </row>
    <row r="220" spans="1:9" ht="14">
      <c r="A220" s="1344" t="s">
        <v>5826</v>
      </c>
      <c r="B220" s="1344">
        <v>6508687400</v>
      </c>
      <c r="C220" s="1344" t="s">
        <v>9343</v>
      </c>
      <c r="D220" s="1346">
        <v>46236.145833333336</v>
      </c>
      <c r="E220" s="1346">
        <v>46236.170567129629</v>
      </c>
      <c r="F220" s="1344" t="s">
        <v>9361</v>
      </c>
      <c r="G220" s="1344" t="s">
        <v>9347</v>
      </c>
      <c r="H220" s="1413"/>
      <c r="I220" s="1413"/>
    </row>
    <row r="221" spans="1:9" ht="14">
      <c r="A221" s="1345" t="s">
        <v>5830</v>
      </c>
      <c r="B221" s="1345">
        <v>9508582980</v>
      </c>
      <c r="C221" s="1345" t="s">
        <v>9343</v>
      </c>
      <c r="D221" s="1347">
        <v>46236.145833333336</v>
      </c>
      <c r="E221" s="1347">
        <v>46236.170567129629</v>
      </c>
      <c r="F221" s="1345" t="s">
        <v>9358</v>
      </c>
      <c r="G221" s="1345" t="s">
        <v>9347</v>
      </c>
      <c r="H221" s="1347">
        <v>46306.75</v>
      </c>
      <c r="I221" s="1412"/>
    </row>
    <row r="222" spans="1:9" ht="14">
      <c r="A222" s="1344" t="s">
        <v>5843</v>
      </c>
      <c r="B222" s="1344">
        <v>6509534810</v>
      </c>
      <c r="C222" s="1344" t="s">
        <v>123</v>
      </c>
      <c r="D222" s="1346">
        <v>46251.104166666664</v>
      </c>
      <c r="E222" s="1346">
        <v>46251.127662037034</v>
      </c>
      <c r="F222" s="1411"/>
      <c r="G222" s="1344" t="s">
        <v>9354</v>
      </c>
      <c r="H222" s="1346">
        <v>46300.75</v>
      </c>
      <c r="I222" s="1413"/>
    </row>
    <row r="223" spans="1:9" ht="14">
      <c r="A223" s="1345" t="s">
        <v>5852</v>
      </c>
      <c r="B223" s="1345">
        <v>6462068440</v>
      </c>
      <c r="C223" s="1345" t="s">
        <v>123</v>
      </c>
      <c r="D223" s="1347">
        <v>46251.104166666664</v>
      </c>
      <c r="E223" s="1347">
        <v>46251.127662037034</v>
      </c>
      <c r="F223" s="1410"/>
      <c r="G223" s="1345" t="s">
        <v>9353</v>
      </c>
      <c r="H223" s="1347">
        <v>46290.458333333336</v>
      </c>
      <c r="I223" s="1412"/>
    </row>
    <row r="224" spans="1:9" ht="14">
      <c r="A224" s="1344" t="s">
        <v>5856</v>
      </c>
      <c r="B224" s="1344">
        <v>6462001750</v>
      </c>
      <c r="C224" s="1344" t="s">
        <v>123</v>
      </c>
      <c r="D224" s="1346">
        <v>46248.541666666664</v>
      </c>
      <c r="E224" s="1346">
        <v>46248.565416666665</v>
      </c>
      <c r="F224" s="1411"/>
      <c r="G224" s="1344" t="s">
        <v>9349</v>
      </c>
      <c r="H224" s="1346">
        <v>46284.427083333336</v>
      </c>
      <c r="I224" s="1413"/>
    </row>
    <row r="225" spans="1:9" ht="14">
      <c r="A225" s="1345" t="s">
        <v>5860</v>
      </c>
      <c r="B225" s="1345">
        <v>6509599960</v>
      </c>
      <c r="C225" s="1345" t="s">
        <v>123</v>
      </c>
      <c r="D225" s="1347">
        <v>46248.541666666664</v>
      </c>
      <c r="E225" s="1347">
        <v>46248.565416666665</v>
      </c>
      <c r="F225" s="1410"/>
      <c r="G225" s="1345" t="s">
        <v>9349</v>
      </c>
      <c r="H225" s="1347">
        <v>46284.427083333336</v>
      </c>
      <c r="I225" s="1412"/>
    </row>
    <row r="226" spans="1:9" ht="14">
      <c r="A226" s="1344" t="s">
        <v>5875</v>
      </c>
      <c r="B226" s="1344">
        <v>6509605690</v>
      </c>
      <c r="C226" s="1344" t="s">
        <v>123</v>
      </c>
      <c r="D226" s="1346">
        <v>46248.541666666664</v>
      </c>
      <c r="E226" s="1346">
        <v>46248.565416666665</v>
      </c>
      <c r="F226" s="1411"/>
      <c r="G226" s="1344" t="s">
        <v>9349</v>
      </c>
      <c r="H226" s="1346">
        <v>46284.427083333336</v>
      </c>
      <c r="I226" s="1413"/>
    </row>
    <row r="227" spans="1:9" ht="14">
      <c r="A227" s="1345" t="s">
        <v>5882</v>
      </c>
      <c r="B227" s="1345">
        <v>6509601100</v>
      </c>
      <c r="C227" s="1345" t="s">
        <v>123</v>
      </c>
      <c r="D227" s="1347">
        <v>46250.083333333336</v>
      </c>
      <c r="E227" s="1347">
        <v>46249.754317129627</v>
      </c>
      <c r="F227" s="1410"/>
      <c r="G227" s="1345" t="s">
        <v>9349</v>
      </c>
      <c r="H227" s="1347">
        <v>46295.875</v>
      </c>
      <c r="I227" s="1412"/>
    </row>
    <row r="228" spans="1:9" ht="14">
      <c r="A228" s="1344" t="s">
        <v>5922</v>
      </c>
      <c r="B228" s="1344">
        <v>6509607500</v>
      </c>
      <c r="C228" s="1344" t="s">
        <v>123</v>
      </c>
      <c r="D228" s="1346">
        <v>46253.916666666664</v>
      </c>
      <c r="E228" s="1346">
        <v>46253.978368055556</v>
      </c>
      <c r="F228" s="1411"/>
      <c r="G228" s="1344" t="s">
        <v>9204</v>
      </c>
      <c r="H228" s="1346">
        <v>46289.25</v>
      </c>
      <c r="I228" s="1413"/>
    </row>
    <row r="229" spans="1:9" ht="14">
      <c r="A229" s="1345" t="s">
        <v>5926</v>
      </c>
      <c r="B229" s="1345">
        <v>6509607090</v>
      </c>
      <c r="C229" s="1345" t="s">
        <v>123</v>
      </c>
      <c r="D229" s="1347">
        <v>46253.916666666664</v>
      </c>
      <c r="E229" s="1347">
        <v>46253.978368055556</v>
      </c>
      <c r="F229" s="1410"/>
      <c r="G229" s="1345" t="s">
        <v>9348</v>
      </c>
      <c r="H229" s="1347">
        <v>46284.083333333336</v>
      </c>
      <c r="I229" s="1412"/>
    </row>
    <row r="230" spans="1:9" ht="14">
      <c r="A230" s="1344" t="s">
        <v>5932</v>
      </c>
      <c r="B230" s="1344">
        <v>6509607950</v>
      </c>
      <c r="C230" s="1344" t="s">
        <v>123</v>
      </c>
      <c r="D230" s="1346">
        <v>46241.770833333336</v>
      </c>
      <c r="E230" s="1346">
        <v>46241.8122337963</v>
      </c>
      <c r="F230" s="1344" t="s">
        <v>9346</v>
      </c>
      <c r="G230" s="1344" t="s">
        <v>9347</v>
      </c>
      <c r="H230" s="1346">
        <v>46290.75</v>
      </c>
      <c r="I230" s="1413"/>
    </row>
    <row r="231" spans="1:9" ht="14">
      <c r="A231" s="1345" t="s">
        <v>5952</v>
      </c>
      <c r="B231" s="1345">
        <v>9508771470</v>
      </c>
      <c r="C231" s="1345" t="s">
        <v>9343</v>
      </c>
      <c r="D231" s="1347">
        <v>46243.166666666664</v>
      </c>
      <c r="E231" s="1347">
        <v>46243.192557870374</v>
      </c>
      <c r="F231" s="1345" t="s">
        <v>9345</v>
      </c>
      <c r="G231" s="1345" t="s">
        <v>9204</v>
      </c>
      <c r="H231" s="1347">
        <v>46328.791666666664</v>
      </c>
      <c r="I231" s="1412"/>
    </row>
    <row r="232" spans="1:9" ht="14">
      <c r="A232" s="1344" t="s">
        <v>5956</v>
      </c>
      <c r="B232" s="1344">
        <v>9508769100</v>
      </c>
      <c r="C232" s="1344" t="s">
        <v>9343</v>
      </c>
      <c r="D232" s="1346">
        <v>46243.166666666664</v>
      </c>
      <c r="E232" s="1346">
        <v>46243.192557870374</v>
      </c>
      <c r="F232" s="1344" t="s">
        <v>9358</v>
      </c>
      <c r="G232" s="1344" t="s">
        <v>9347</v>
      </c>
      <c r="H232" s="1413"/>
      <c r="I232" s="1413"/>
    </row>
    <row r="233" spans="1:9" ht="14">
      <c r="A233" s="1345" t="s">
        <v>5960</v>
      </c>
      <c r="B233" s="1345">
        <v>9508771330</v>
      </c>
      <c r="C233" s="1345" t="s">
        <v>9343</v>
      </c>
      <c r="D233" s="1347">
        <v>46243.166666666664</v>
      </c>
      <c r="E233" s="1347">
        <v>46243.192557870374</v>
      </c>
      <c r="F233" s="1345" t="s">
        <v>9361</v>
      </c>
      <c r="G233" s="1345" t="s">
        <v>9347</v>
      </c>
      <c r="H233" s="1412"/>
      <c r="I233" s="1412"/>
    </row>
    <row r="234" spans="1:9" ht="14">
      <c r="A234" s="1344" t="s">
        <v>5964</v>
      </c>
      <c r="B234" s="1344">
        <v>9508803730</v>
      </c>
      <c r="C234" s="1344" t="s">
        <v>9343</v>
      </c>
      <c r="D234" s="1346">
        <v>46243.166666666664</v>
      </c>
      <c r="E234" s="1346">
        <v>46243.192557870374</v>
      </c>
      <c r="F234" s="1411"/>
      <c r="G234" s="1344" t="s">
        <v>9349</v>
      </c>
      <c r="H234" s="1346">
        <v>46289.625</v>
      </c>
      <c r="I234" s="1413"/>
    </row>
    <row r="235" spans="1:9" ht="14">
      <c r="A235" s="1345" t="s">
        <v>5968</v>
      </c>
      <c r="B235" s="1345">
        <v>9508876530</v>
      </c>
      <c r="C235" s="1345" t="s">
        <v>9343</v>
      </c>
      <c r="D235" s="1347">
        <v>46243.166666666664</v>
      </c>
      <c r="E235" s="1347">
        <v>46243.192557870374</v>
      </c>
      <c r="F235" s="1410"/>
      <c r="G235" s="1345" t="s">
        <v>9349</v>
      </c>
      <c r="H235" s="1347">
        <v>46289.625</v>
      </c>
      <c r="I235" s="1412"/>
    </row>
    <row r="236" spans="1:9" ht="14">
      <c r="A236" s="1344" t="s">
        <v>5972</v>
      </c>
      <c r="B236" s="1344">
        <v>6461689400</v>
      </c>
      <c r="C236" s="1344" t="s">
        <v>9343</v>
      </c>
      <c r="D236" s="1346">
        <v>46243.166666666664</v>
      </c>
      <c r="E236" s="1346">
        <v>46243.192557870374</v>
      </c>
      <c r="F236" s="1411"/>
      <c r="G236" s="1344" t="s">
        <v>9349</v>
      </c>
      <c r="H236" s="1346">
        <v>46289.625</v>
      </c>
      <c r="I236" s="1413"/>
    </row>
    <row r="237" spans="1:9" ht="14">
      <c r="A237" s="1345" t="s">
        <v>5977</v>
      </c>
      <c r="B237" s="1345">
        <v>9508762190</v>
      </c>
      <c r="C237" s="1345" t="s">
        <v>5992</v>
      </c>
      <c r="D237" s="1347">
        <v>46246.208333333336</v>
      </c>
      <c r="E237" s="1347">
        <v>46246.239791666667</v>
      </c>
      <c r="F237" s="1410"/>
      <c r="G237" s="1345" t="s">
        <v>9353</v>
      </c>
      <c r="H237" s="1347">
        <v>46286.375</v>
      </c>
      <c r="I237" s="1412"/>
    </row>
    <row r="238" spans="1:9" ht="14">
      <c r="A238" s="1344" t="s">
        <v>5982</v>
      </c>
      <c r="B238" s="1344">
        <v>9508766060</v>
      </c>
      <c r="C238" s="1344" t="s">
        <v>5992</v>
      </c>
      <c r="D238" s="1346">
        <v>46249.802083333336</v>
      </c>
      <c r="E238" s="1346">
        <v>46249.834432870368</v>
      </c>
      <c r="F238" s="1411"/>
      <c r="G238" s="1344" t="s">
        <v>9349</v>
      </c>
      <c r="H238" s="1346">
        <v>46283.041666666664</v>
      </c>
      <c r="I238" s="1413"/>
    </row>
    <row r="239" spans="1:9" ht="14">
      <c r="A239" s="1345" t="s">
        <v>5987</v>
      </c>
      <c r="B239" s="1345">
        <v>9508766070</v>
      </c>
      <c r="C239" s="1345" t="s">
        <v>5992</v>
      </c>
      <c r="D239" s="1347">
        <v>46259.333333333336</v>
      </c>
      <c r="E239" s="1347">
        <v>46259.356724537036</v>
      </c>
      <c r="F239" s="1410"/>
      <c r="G239" s="1345" t="s">
        <v>9349</v>
      </c>
      <c r="H239" s="1347">
        <v>46295.875</v>
      </c>
      <c r="I239" s="1412"/>
    </row>
    <row r="240" spans="1:9" ht="14">
      <c r="A240" s="1344" t="s">
        <v>5996</v>
      </c>
      <c r="B240" s="1344">
        <v>9508804610</v>
      </c>
      <c r="C240" s="1344" t="s">
        <v>5992</v>
      </c>
      <c r="D240" s="1346">
        <v>46254</v>
      </c>
      <c r="E240" s="1346">
        <v>46254.01357638889</v>
      </c>
      <c r="F240" s="1411"/>
      <c r="G240" s="1344" t="s">
        <v>9204</v>
      </c>
      <c r="H240" s="1346">
        <v>46297.75</v>
      </c>
      <c r="I240" s="1413"/>
    </row>
    <row r="241" spans="1:9" ht="14">
      <c r="A241" s="1345" t="s">
        <v>6001</v>
      </c>
      <c r="B241" s="1345">
        <v>6463190630</v>
      </c>
      <c r="C241" s="1345" t="s">
        <v>123</v>
      </c>
      <c r="D241" s="1347">
        <v>46254.3125</v>
      </c>
      <c r="E241" s="1347">
        <v>46254.231863425928</v>
      </c>
      <c r="F241" s="1410"/>
      <c r="G241" s="1345" t="s">
        <v>9349</v>
      </c>
      <c r="H241" s="1347">
        <v>46289.625</v>
      </c>
      <c r="I241" s="1412"/>
    </row>
    <row r="242" spans="1:9" ht="14">
      <c r="A242" s="1344" t="s">
        <v>6008</v>
      </c>
      <c r="B242" s="1344">
        <v>6461909030</v>
      </c>
      <c r="C242" s="1344" t="s">
        <v>123</v>
      </c>
      <c r="D242" s="1346">
        <v>46253.1875</v>
      </c>
      <c r="E242" s="1346">
        <v>46253.207060185188</v>
      </c>
      <c r="F242" s="1411"/>
      <c r="G242" s="1344" t="s">
        <v>9349</v>
      </c>
      <c r="H242" s="1346">
        <v>46298.791666666664</v>
      </c>
      <c r="I242" s="1413"/>
    </row>
    <row r="243" spans="1:9" ht="14">
      <c r="A243" s="1345" t="s">
        <v>6013</v>
      </c>
      <c r="B243" s="1345">
        <v>6461896790</v>
      </c>
      <c r="C243" s="1345" t="s">
        <v>123</v>
      </c>
      <c r="D243" s="1347">
        <v>46254.3125</v>
      </c>
      <c r="E243" s="1347">
        <v>46254.231863425928</v>
      </c>
      <c r="F243" s="1410"/>
      <c r="G243" s="1345" t="s">
        <v>9349</v>
      </c>
      <c r="H243" s="1347">
        <v>46289.625</v>
      </c>
      <c r="I243" s="1412"/>
    </row>
    <row r="244" spans="1:9" ht="14">
      <c r="A244" s="1344" t="s">
        <v>6018</v>
      </c>
      <c r="B244" s="1344">
        <v>6461897910</v>
      </c>
      <c r="C244" s="1344" t="s">
        <v>123</v>
      </c>
      <c r="D244" s="1346">
        <v>46248.541666666664</v>
      </c>
      <c r="E244" s="1346">
        <v>46248.565416666665</v>
      </c>
      <c r="F244" s="1411"/>
      <c r="G244" s="1344" t="s">
        <v>9349</v>
      </c>
      <c r="H244" s="1346">
        <v>46284.427083333336</v>
      </c>
      <c r="I244" s="1413"/>
    </row>
    <row r="245" spans="1:9" ht="14">
      <c r="A245" s="1345" t="s">
        <v>6027</v>
      </c>
      <c r="B245" s="1345">
        <v>6461909570</v>
      </c>
      <c r="C245" s="1345" t="s">
        <v>123</v>
      </c>
      <c r="D245" s="1347">
        <v>46248.541666666664</v>
      </c>
      <c r="E245" s="1347">
        <v>46248.565416666665</v>
      </c>
      <c r="F245" s="1410"/>
      <c r="G245" s="1345" t="s">
        <v>9349</v>
      </c>
      <c r="H245" s="1347">
        <v>46284.427083333336</v>
      </c>
      <c r="I245" s="1412"/>
    </row>
    <row r="246" spans="1:9" ht="14">
      <c r="A246" s="1344" t="s">
        <v>6045</v>
      </c>
      <c r="B246" s="1344">
        <v>6462349090</v>
      </c>
      <c r="C246" s="1344" t="s">
        <v>123</v>
      </c>
      <c r="D246" s="1346">
        <v>46248.541666666664</v>
      </c>
      <c r="E246" s="1346">
        <v>46248.565416666665</v>
      </c>
      <c r="F246" s="1411"/>
      <c r="G246" s="1344" t="s">
        <v>9349</v>
      </c>
      <c r="H246" s="1346">
        <v>46284.427083333336</v>
      </c>
      <c r="I246" s="1413"/>
    </row>
    <row r="247" spans="1:9" ht="14">
      <c r="A247" s="1345" t="s">
        <v>6051</v>
      </c>
      <c r="B247" s="1345">
        <v>6462350050</v>
      </c>
      <c r="C247" s="1345" t="s">
        <v>123</v>
      </c>
      <c r="D247" s="1347">
        <v>46248.541666666664</v>
      </c>
      <c r="E247" s="1347">
        <v>46248.565416666665</v>
      </c>
      <c r="F247" s="1410"/>
      <c r="G247" s="1345" t="s">
        <v>9349</v>
      </c>
      <c r="H247" s="1347">
        <v>46284.427083333336</v>
      </c>
      <c r="I247" s="1412"/>
    </row>
    <row r="248" spans="1:9" ht="14">
      <c r="A248" s="1344" t="s">
        <v>6060</v>
      </c>
      <c r="B248" s="1344">
        <v>6461814320</v>
      </c>
      <c r="C248" s="1344" t="s">
        <v>123</v>
      </c>
      <c r="D248" s="1346">
        <v>46253.916666666664</v>
      </c>
      <c r="E248" s="1346">
        <v>46253.978368055556</v>
      </c>
      <c r="F248" s="1411"/>
      <c r="G248" s="1344" t="s">
        <v>9204</v>
      </c>
      <c r="H248" s="1346">
        <v>46289.25</v>
      </c>
      <c r="I248" s="1413"/>
    </row>
    <row r="249" spans="1:9" ht="14">
      <c r="A249" s="1345" t="s">
        <v>6067</v>
      </c>
      <c r="B249" s="1345">
        <v>6461816750</v>
      </c>
      <c r="C249" s="1345" t="s">
        <v>123</v>
      </c>
      <c r="D249" s="1347">
        <v>46263.4375</v>
      </c>
      <c r="E249" s="1347">
        <v>46263.48333333333</v>
      </c>
      <c r="F249" s="1410"/>
      <c r="G249" s="1345" t="s">
        <v>9204</v>
      </c>
      <c r="H249" s="1347">
        <v>46317.75</v>
      </c>
      <c r="I249" s="1412"/>
    </row>
    <row r="250" spans="1:9" ht="14">
      <c r="A250" s="1344" t="s">
        <v>6088</v>
      </c>
      <c r="B250" s="1344">
        <v>6461817600</v>
      </c>
      <c r="C250" s="1344" t="s">
        <v>123</v>
      </c>
      <c r="D250" s="1346">
        <v>46263.4375</v>
      </c>
      <c r="E250" s="1346">
        <v>46263.48333333333</v>
      </c>
      <c r="F250" s="1411"/>
      <c r="G250" s="1344" t="s">
        <v>9348</v>
      </c>
      <c r="H250" s="1346">
        <v>46320.375</v>
      </c>
      <c r="I250" s="1413"/>
    </row>
    <row r="251" spans="1:9" ht="14">
      <c r="A251" s="1345" t="s">
        <v>6099</v>
      </c>
      <c r="B251" s="1345">
        <v>6461905820</v>
      </c>
      <c r="C251" s="1345" t="s">
        <v>123</v>
      </c>
      <c r="D251" s="1347">
        <v>46251.791666666664</v>
      </c>
      <c r="E251" s="1347">
        <v>46251.534803240742</v>
      </c>
      <c r="F251" s="1345" t="s">
        <v>9346</v>
      </c>
      <c r="G251" s="1345" t="s">
        <v>9347</v>
      </c>
      <c r="H251" s="1347">
        <v>46306.75</v>
      </c>
      <c r="I251" s="1412"/>
    </row>
    <row r="252" spans="1:9" ht="14">
      <c r="A252" s="1344" t="s">
        <v>6106</v>
      </c>
      <c r="B252" s="1344">
        <v>9508762590</v>
      </c>
      <c r="C252" s="1344" t="s">
        <v>5992</v>
      </c>
      <c r="D252" s="1346">
        <v>46257.791666666664</v>
      </c>
      <c r="E252" s="1346">
        <v>46257.848101851851</v>
      </c>
      <c r="F252" s="1411"/>
      <c r="G252" s="1344" t="s">
        <v>9349</v>
      </c>
      <c r="H252" s="1346">
        <v>46289.625</v>
      </c>
      <c r="I252" s="1413"/>
    </row>
    <row r="253" spans="1:9" ht="14">
      <c r="A253" s="1345" t="s">
        <v>6132</v>
      </c>
      <c r="B253" s="1345">
        <v>9508902260</v>
      </c>
      <c r="C253" s="1345" t="s">
        <v>5992</v>
      </c>
      <c r="D253" s="1347">
        <v>46255.875</v>
      </c>
      <c r="E253" s="1347">
        <v>46255.885057870371</v>
      </c>
      <c r="F253" s="1410"/>
      <c r="G253" s="1345" t="s">
        <v>9204</v>
      </c>
      <c r="H253" s="1347">
        <v>46313.791666666664</v>
      </c>
      <c r="I253" s="1412"/>
    </row>
    <row r="254" spans="1:9" ht="14">
      <c r="A254" s="1344" t="s">
        <v>6136</v>
      </c>
      <c r="B254" s="1344">
        <v>9508904380</v>
      </c>
      <c r="C254" s="1344" t="s">
        <v>5992</v>
      </c>
      <c r="D254" s="1346">
        <v>46257.291666666664</v>
      </c>
      <c r="E254" s="1346">
        <v>46257.156030092592</v>
      </c>
      <c r="F254" s="1344" t="s">
        <v>9346</v>
      </c>
      <c r="G254" s="1344" t="s">
        <v>9347</v>
      </c>
      <c r="H254" s="1346">
        <v>46306.75</v>
      </c>
      <c r="I254" s="1413"/>
    </row>
    <row r="255" spans="1:9" ht="14">
      <c r="A255" s="1345" t="s">
        <v>6178</v>
      </c>
      <c r="B255" s="1345">
        <v>6463115620</v>
      </c>
      <c r="C255" s="1345" t="s">
        <v>123</v>
      </c>
      <c r="D255" s="1347">
        <v>46264.5625</v>
      </c>
      <c r="E255" s="1347">
        <v>46264.582175925927</v>
      </c>
      <c r="F255" s="1345" t="s">
        <v>9349</v>
      </c>
      <c r="G255" s="1345" t="s">
        <v>9350</v>
      </c>
      <c r="H255" s="1412"/>
      <c r="I255" s="1412"/>
    </row>
    <row r="256" spans="1:9" ht="14">
      <c r="A256" s="1344" t="s">
        <v>6186</v>
      </c>
      <c r="B256" s="1344">
        <v>6463847410</v>
      </c>
      <c r="C256" s="1344" t="s">
        <v>123</v>
      </c>
      <c r="D256" s="1346">
        <v>46257.916666666664</v>
      </c>
      <c r="E256" s="1346">
        <v>46257.983877314815</v>
      </c>
      <c r="F256" s="1411"/>
      <c r="G256" s="1344" t="s">
        <v>9353</v>
      </c>
      <c r="H256" s="1346">
        <v>46297.291666666664</v>
      </c>
      <c r="I256" s="1413"/>
    </row>
    <row r="257" spans="1:9" ht="14">
      <c r="A257" s="1345" t="s">
        <v>6199</v>
      </c>
      <c r="B257" s="1345">
        <v>6463255210</v>
      </c>
      <c r="C257" s="1345" t="s">
        <v>123</v>
      </c>
      <c r="D257" s="1347">
        <v>46257.916666666664</v>
      </c>
      <c r="E257" s="1347">
        <v>46257.983877314815</v>
      </c>
      <c r="F257" s="1410"/>
      <c r="G257" s="1345" t="s">
        <v>9353</v>
      </c>
      <c r="H257" s="1347">
        <v>46297.291666666664</v>
      </c>
      <c r="I257" s="1412"/>
    </row>
    <row r="258" spans="1:9" ht="14">
      <c r="A258" s="1344" t="s">
        <v>6204</v>
      </c>
      <c r="B258" s="1344">
        <v>6462717070</v>
      </c>
      <c r="C258" s="1344" t="s">
        <v>123</v>
      </c>
      <c r="D258" s="1346">
        <v>46256.395833333336</v>
      </c>
      <c r="E258" s="1346">
        <v>46256.416493055556</v>
      </c>
      <c r="F258" s="1411"/>
      <c r="G258" s="1344" t="s">
        <v>9349</v>
      </c>
      <c r="H258" s="1346">
        <v>46305.791666666664</v>
      </c>
      <c r="I258" s="1413"/>
    </row>
    <row r="259" spans="1:9" ht="14">
      <c r="A259" s="1345" t="s">
        <v>6245</v>
      </c>
      <c r="B259" s="1345">
        <v>6463259170</v>
      </c>
      <c r="C259" s="1345" t="s">
        <v>123</v>
      </c>
      <c r="D259" s="1347">
        <v>46269.166666666664</v>
      </c>
      <c r="E259" s="1347">
        <v>46269.097187500003</v>
      </c>
      <c r="F259" s="1410"/>
      <c r="G259" s="1345" t="s">
        <v>9204</v>
      </c>
      <c r="H259" s="1347">
        <v>46321.791666666664</v>
      </c>
      <c r="I259" s="1412"/>
    </row>
    <row r="260" spans="1:9" ht="14">
      <c r="A260" s="1344" t="s">
        <v>6251</v>
      </c>
      <c r="B260" s="1344">
        <v>9508974980</v>
      </c>
      <c r="C260" s="1344" t="s">
        <v>5992</v>
      </c>
      <c r="D260" s="1346">
        <v>46269.041666666664</v>
      </c>
      <c r="E260" s="1346">
        <v>46269.101157407407</v>
      </c>
      <c r="F260" s="1344" t="s">
        <v>9349</v>
      </c>
      <c r="G260" s="1344" t="s">
        <v>9350</v>
      </c>
      <c r="H260" s="1413"/>
      <c r="I260" s="1413"/>
    </row>
    <row r="261" spans="1:9" ht="14">
      <c r="A261" s="1345" t="s">
        <v>6262</v>
      </c>
      <c r="B261" s="1345">
        <v>6463257360</v>
      </c>
      <c r="C261" s="1345" t="s">
        <v>123</v>
      </c>
      <c r="D261" s="1347">
        <v>46269.166666666664</v>
      </c>
      <c r="E261" s="1347">
        <v>46269.097187500003</v>
      </c>
      <c r="F261" s="1410"/>
      <c r="G261" s="1345" t="s">
        <v>9348</v>
      </c>
      <c r="H261" s="1347">
        <v>46324.625</v>
      </c>
      <c r="I261" s="1412"/>
    </row>
    <row r="262" spans="1:9" ht="14">
      <c r="A262" s="1344" t="s">
        <v>6271</v>
      </c>
      <c r="B262" s="1344">
        <v>6462720700</v>
      </c>
      <c r="C262" s="1344" t="s">
        <v>123</v>
      </c>
      <c r="D262" s="1346">
        <v>46266.083333333336</v>
      </c>
      <c r="E262" s="1346">
        <v>46266.110775462963</v>
      </c>
      <c r="F262" s="1344" t="s">
        <v>9346</v>
      </c>
      <c r="G262" s="1344" t="s">
        <v>9347</v>
      </c>
      <c r="H262" s="1413"/>
      <c r="I262" s="1413"/>
    </row>
    <row r="263" spans="1:9" ht="14">
      <c r="A263" s="1345" t="s">
        <v>6277</v>
      </c>
      <c r="B263" s="1345">
        <v>9509275040</v>
      </c>
      <c r="C263" s="1345" t="s">
        <v>5992</v>
      </c>
      <c r="D263" s="1347">
        <v>46271</v>
      </c>
      <c r="E263" s="1347">
        <v>46270.981307870374</v>
      </c>
      <c r="F263" s="1345" t="s">
        <v>9346</v>
      </c>
      <c r="G263" s="1345" t="s">
        <v>9347</v>
      </c>
      <c r="H263" s="1412"/>
      <c r="I263" s="1412"/>
    </row>
    <row r="264" spans="1:9" ht="14">
      <c r="A264" s="1344" t="s">
        <v>6285</v>
      </c>
      <c r="B264" s="1344">
        <v>9509346010</v>
      </c>
      <c r="C264" s="1344" t="s">
        <v>5992</v>
      </c>
      <c r="D264" s="1346">
        <v>46269.041666666664</v>
      </c>
      <c r="E264" s="1346">
        <v>46269.101157407407</v>
      </c>
      <c r="F264" s="1411"/>
      <c r="G264" s="1344" t="s">
        <v>9353</v>
      </c>
      <c r="H264" s="1346">
        <v>46308.625</v>
      </c>
      <c r="I264" s="1413"/>
    </row>
    <row r="265" spans="1:9" ht="14">
      <c r="A265" s="1345" t="s">
        <v>6290</v>
      </c>
      <c r="B265" s="1345">
        <v>9509265660</v>
      </c>
      <c r="C265" s="1345" t="s">
        <v>5992</v>
      </c>
      <c r="D265" s="1347">
        <v>46269.041666666664</v>
      </c>
      <c r="E265" s="1347">
        <v>46269.101157407407</v>
      </c>
      <c r="F265" s="1410"/>
      <c r="G265" s="1345" t="s">
        <v>9353</v>
      </c>
      <c r="H265" s="1347">
        <v>46308.625</v>
      </c>
      <c r="I265" s="1412"/>
    </row>
    <row r="266" spans="1:9" ht="14">
      <c r="A266" s="1344" t="s">
        <v>6294</v>
      </c>
      <c r="B266" s="1344">
        <v>9509015500</v>
      </c>
      <c r="C266" s="1344" t="s">
        <v>5992</v>
      </c>
      <c r="D266" s="1346">
        <v>46257.291666666664</v>
      </c>
      <c r="E266" s="1346">
        <v>46257.156030092592</v>
      </c>
      <c r="F266" s="1344" t="s">
        <v>9346</v>
      </c>
      <c r="G266" s="1344" t="s">
        <v>9347</v>
      </c>
      <c r="H266" s="1346">
        <v>46306.75</v>
      </c>
      <c r="I266" s="1413"/>
    </row>
    <row r="267" spans="1:9" ht="14">
      <c r="A267" s="1345" t="s">
        <v>6299</v>
      </c>
      <c r="B267" s="1345">
        <v>9508973640</v>
      </c>
      <c r="C267" s="1345" t="s">
        <v>5992</v>
      </c>
      <c r="D267" s="1347">
        <v>46270.041666666664</v>
      </c>
      <c r="E267" s="1347">
        <v>46270.062141203707</v>
      </c>
      <c r="F267" s="1410"/>
      <c r="G267" s="1345" t="s">
        <v>9204</v>
      </c>
      <c r="H267" s="1347">
        <v>46317.75</v>
      </c>
      <c r="I267" s="1412"/>
    </row>
    <row r="268" spans="1:9" ht="14">
      <c r="A268" s="1344" t="s">
        <v>6304</v>
      </c>
      <c r="B268" s="1344">
        <v>9508973860</v>
      </c>
      <c r="C268" s="1344" t="s">
        <v>5992</v>
      </c>
      <c r="D268" s="1346">
        <v>46254</v>
      </c>
      <c r="E268" s="1346">
        <v>46254.01357638889</v>
      </c>
      <c r="F268" s="1411"/>
      <c r="G268" s="1344" t="s">
        <v>9204</v>
      </c>
      <c r="H268" s="1346">
        <v>46297.75</v>
      </c>
      <c r="I268" s="1413"/>
    </row>
    <row r="269" spans="1:9" ht="14">
      <c r="A269" s="1345" t="s">
        <v>6309</v>
      </c>
      <c r="B269" s="1345">
        <v>9509256390</v>
      </c>
      <c r="C269" s="1345" t="s">
        <v>5992</v>
      </c>
      <c r="D269" s="1347">
        <v>46275</v>
      </c>
      <c r="E269" s="1347">
        <v>46275.042812500003</v>
      </c>
      <c r="F269" s="1410"/>
      <c r="G269" s="1345" t="s">
        <v>9204</v>
      </c>
      <c r="H269" s="1347">
        <v>46321.791666666664</v>
      </c>
      <c r="I269" s="1412"/>
    </row>
    <row r="270" spans="1:9" ht="14">
      <c r="A270" s="1344" t="s">
        <v>6314</v>
      </c>
      <c r="B270" s="1344">
        <v>9509256030</v>
      </c>
      <c r="C270" s="1344" t="s">
        <v>5992</v>
      </c>
      <c r="D270" s="1346">
        <v>46260.458333333336</v>
      </c>
      <c r="E270" s="1346">
        <v>46260.478738425925</v>
      </c>
      <c r="F270" s="1411"/>
      <c r="G270" s="1344" t="s">
        <v>9353</v>
      </c>
      <c r="H270" s="1346">
        <v>46302.25</v>
      </c>
      <c r="I270" s="1413"/>
    </row>
    <row r="271" spans="1:9" ht="14">
      <c r="A271" s="1345" t="s">
        <v>6318</v>
      </c>
      <c r="B271" s="1345">
        <v>9508982210</v>
      </c>
      <c r="C271" s="1345" t="s">
        <v>5992</v>
      </c>
      <c r="D271" s="1347">
        <v>46257.791666666664</v>
      </c>
      <c r="E271" s="1347">
        <v>46257.848101851851</v>
      </c>
      <c r="F271" s="1345" t="s">
        <v>9349</v>
      </c>
      <c r="G271" s="1345" t="s">
        <v>9350</v>
      </c>
      <c r="H271" s="1412"/>
      <c r="I271" s="1412"/>
    </row>
    <row r="272" spans="1:9" ht="14">
      <c r="A272" s="1344" t="s">
        <v>6323</v>
      </c>
      <c r="B272" s="1344">
        <v>9508974810</v>
      </c>
      <c r="C272" s="1344" t="s">
        <v>5992</v>
      </c>
      <c r="D272" s="1346">
        <v>46260.458333333336</v>
      </c>
      <c r="E272" s="1346">
        <v>46260.478738425925</v>
      </c>
      <c r="F272" s="1411"/>
      <c r="G272" s="1344" t="s">
        <v>9353</v>
      </c>
      <c r="H272" s="1346">
        <v>46302.25</v>
      </c>
      <c r="I272" s="1413"/>
    </row>
    <row r="273" spans="1:9" ht="14">
      <c r="A273" s="1345" t="s">
        <v>6327</v>
      </c>
      <c r="B273" s="1345">
        <v>9508974740</v>
      </c>
      <c r="C273" s="1345" t="s">
        <v>5992</v>
      </c>
      <c r="D273" s="1347">
        <v>46260.458333333336</v>
      </c>
      <c r="E273" s="1347">
        <v>46260.478738425925</v>
      </c>
      <c r="F273" s="1410"/>
      <c r="G273" s="1345" t="s">
        <v>9353</v>
      </c>
      <c r="H273" s="1347">
        <v>46302.25</v>
      </c>
      <c r="I273" s="1412"/>
    </row>
    <row r="274" spans="1:9" ht="14">
      <c r="A274" s="1344" t="s">
        <v>6332</v>
      </c>
      <c r="B274" s="1344">
        <v>9509255460</v>
      </c>
      <c r="C274" s="1344" t="s">
        <v>5992</v>
      </c>
      <c r="D274" s="1346">
        <v>46269.791666666664</v>
      </c>
      <c r="E274" s="1346">
        <v>46269.824548611112</v>
      </c>
      <c r="F274" s="1344" t="s">
        <v>9349</v>
      </c>
      <c r="G274" s="1344" t="s">
        <v>9350</v>
      </c>
      <c r="H274" s="1413"/>
      <c r="I274" s="1413"/>
    </row>
    <row r="275" spans="1:9" ht="14">
      <c r="A275" s="1345" t="s">
        <v>6337</v>
      </c>
      <c r="B275" s="1345">
        <v>9509127610</v>
      </c>
      <c r="C275" s="1345" t="s">
        <v>9343</v>
      </c>
      <c r="D275" s="1347">
        <v>46259.322916666664</v>
      </c>
      <c r="E275" s="1347">
        <v>46259.371157407404</v>
      </c>
      <c r="F275" s="1410"/>
      <c r="G275" s="1345" t="s">
        <v>9349</v>
      </c>
      <c r="H275" s="1347">
        <v>46309.333333333336</v>
      </c>
      <c r="I275" s="1412"/>
    </row>
    <row r="276" spans="1:9" ht="14">
      <c r="A276" s="1344" t="s">
        <v>6363</v>
      </c>
      <c r="B276" s="1344">
        <v>9509124230</v>
      </c>
      <c r="C276" s="1344" t="s">
        <v>9343</v>
      </c>
      <c r="D276" s="1346">
        <v>46259.322916666664</v>
      </c>
      <c r="E276" s="1346">
        <v>46259.371157407404</v>
      </c>
      <c r="F276" s="1344" t="s">
        <v>123</v>
      </c>
      <c r="G276" s="1344" t="s">
        <v>9204</v>
      </c>
      <c r="H276" s="1346">
        <v>46327.854166666664</v>
      </c>
      <c r="I276" s="1413"/>
    </row>
    <row r="277" spans="1:9" ht="14">
      <c r="A277" s="1345" t="s">
        <v>6370</v>
      </c>
      <c r="B277" s="1345">
        <v>9509124140</v>
      </c>
      <c r="C277" s="1345" t="s">
        <v>9343</v>
      </c>
      <c r="D277" s="1347">
        <v>46259.322916666664</v>
      </c>
      <c r="E277" s="1347">
        <v>46259.371157407404</v>
      </c>
      <c r="F277" s="1345" t="s">
        <v>9345</v>
      </c>
      <c r="G277" s="1345" t="s">
        <v>9204</v>
      </c>
      <c r="H277" s="1347">
        <v>46316.25</v>
      </c>
      <c r="I277" s="1412"/>
    </row>
    <row r="278" spans="1:9" ht="14">
      <c r="A278" s="1344" t="s">
        <v>6387</v>
      </c>
      <c r="B278" s="1344">
        <v>9508944650</v>
      </c>
      <c r="C278" s="1344" t="s">
        <v>9343</v>
      </c>
      <c r="D278" s="1346">
        <v>46254.666666666664</v>
      </c>
      <c r="E278" s="1346">
        <v>46254.49119212963</v>
      </c>
      <c r="F278" s="1411"/>
      <c r="G278" s="1344" t="s">
        <v>9349</v>
      </c>
      <c r="H278" s="1346">
        <v>46302.875</v>
      </c>
      <c r="I278" s="1413"/>
    </row>
    <row r="279" spans="1:9" ht="14">
      <c r="A279" s="1345" t="s">
        <v>6398</v>
      </c>
      <c r="B279" s="1345">
        <v>9508943650</v>
      </c>
      <c r="C279" s="1345" t="s">
        <v>9343</v>
      </c>
      <c r="D279" s="1347">
        <v>46254.666666666664</v>
      </c>
      <c r="E279" s="1347">
        <v>46254.49119212963</v>
      </c>
      <c r="F279" s="1345" t="s">
        <v>123</v>
      </c>
      <c r="G279" s="1345" t="s">
        <v>9204</v>
      </c>
      <c r="H279" s="1347">
        <v>46321.791666666664</v>
      </c>
      <c r="I279" s="1412"/>
    </row>
    <row r="280" spans="1:9" ht="14">
      <c r="A280" s="1344" t="s">
        <v>6404</v>
      </c>
      <c r="B280" s="1344">
        <v>9508943400</v>
      </c>
      <c r="C280" s="1344" t="s">
        <v>9343</v>
      </c>
      <c r="D280" s="1346">
        <v>46254.666666666664</v>
      </c>
      <c r="E280" s="1346">
        <v>46254.49119212963</v>
      </c>
      <c r="F280" s="1344" t="s">
        <v>9345</v>
      </c>
      <c r="G280" s="1344" t="s">
        <v>9204</v>
      </c>
      <c r="H280" s="1346">
        <v>46316.25</v>
      </c>
      <c r="I280" s="1413"/>
    </row>
    <row r="281" spans="1:9" ht="14">
      <c r="A281" s="1345" t="s">
        <v>6408</v>
      </c>
      <c r="B281" s="1345">
        <v>9508944110</v>
      </c>
      <c r="C281" s="1345" t="s">
        <v>9343</v>
      </c>
      <c r="D281" s="1347">
        <v>46254.666666666664</v>
      </c>
      <c r="E281" s="1347">
        <v>46254.49119212963</v>
      </c>
      <c r="F281" s="1345" t="s">
        <v>9358</v>
      </c>
      <c r="G281" s="1345" t="s">
        <v>9347</v>
      </c>
      <c r="H281" s="1412"/>
      <c r="I281" s="1412"/>
    </row>
    <row r="282" spans="1:9" ht="14">
      <c r="A282" s="1344" t="s">
        <v>6413</v>
      </c>
      <c r="B282" s="1344">
        <v>6462455040</v>
      </c>
      <c r="C282" s="1344" t="s">
        <v>9343</v>
      </c>
      <c r="D282" s="1346">
        <v>46254.666666666664</v>
      </c>
      <c r="E282" s="1346">
        <v>46254.49119212963</v>
      </c>
      <c r="F282" s="1344" t="s">
        <v>123</v>
      </c>
      <c r="G282" s="1344" t="s">
        <v>9353</v>
      </c>
      <c r="H282" s="1346">
        <v>46313.125</v>
      </c>
      <c r="I282" s="1413"/>
    </row>
    <row r="283" spans="1:9" ht="14">
      <c r="A283" s="1345" t="s">
        <v>6417</v>
      </c>
      <c r="B283" s="1345">
        <v>6462929130</v>
      </c>
      <c r="C283" s="1345" t="s">
        <v>9343</v>
      </c>
      <c r="D283" s="1347">
        <v>46259.322916666664</v>
      </c>
      <c r="E283" s="1347">
        <v>46259.371157407404</v>
      </c>
      <c r="F283" s="1345" t="s">
        <v>123</v>
      </c>
      <c r="G283" s="1345" t="s">
        <v>9353</v>
      </c>
      <c r="H283" s="1347">
        <v>46313.041666666664</v>
      </c>
      <c r="I283" s="1412"/>
    </row>
    <row r="284" spans="1:9" ht="14">
      <c r="A284" s="1344" t="s">
        <v>6425</v>
      </c>
      <c r="B284" s="1344">
        <v>6464353550</v>
      </c>
      <c r="C284" s="1344" t="s">
        <v>123</v>
      </c>
      <c r="D284" s="1346">
        <v>46278.8125</v>
      </c>
      <c r="E284" s="1346">
        <v>46278.838460648149</v>
      </c>
      <c r="F284" s="1344" t="s">
        <v>9359</v>
      </c>
      <c r="G284" s="1344" t="s">
        <v>9352</v>
      </c>
      <c r="H284" s="1346">
        <v>46321.291666666664</v>
      </c>
      <c r="I284" s="1413"/>
    </row>
    <row r="285" spans="1:9" ht="14">
      <c r="A285" s="1345" t="s">
        <v>6429</v>
      </c>
      <c r="B285" s="1345">
        <v>6463656670</v>
      </c>
      <c r="C285" s="1345" t="s">
        <v>123</v>
      </c>
      <c r="D285" s="1347">
        <v>46282.395833333336</v>
      </c>
      <c r="E285" s="1412"/>
      <c r="F285" s="1410"/>
      <c r="G285" s="1345" t="s">
        <v>9353</v>
      </c>
      <c r="H285" s="1347">
        <v>46321.791666666664</v>
      </c>
      <c r="I285" s="1412"/>
    </row>
    <row r="286" spans="1:9" ht="14">
      <c r="A286" s="1344" t="s">
        <v>6434</v>
      </c>
      <c r="B286" s="1344">
        <v>6463840480</v>
      </c>
      <c r="C286" s="1344" t="s">
        <v>123</v>
      </c>
      <c r="D286" s="1346">
        <v>46267.520833333336</v>
      </c>
      <c r="E286" s="1346">
        <v>46267.407708333332</v>
      </c>
      <c r="F286" s="1411"/>
      <c r="G286" s="1344" t="s">
        <v>9349</v>
      </c>
      <c r="H286" s="1346">
        <v>46309.333333333336</v>
      </c>
      <c r="I286" s="1413"/>
    </row>
    <row r="287" spans="1:9" ht="14">
      <c r="A287" s="1345" t="s">
        <v>6442</v>
      </c>
      <c r="B287" s="1345">
        <v>6463656150</v>
      </c>
      <c r="C287" s="1345" t="s">
        <v>123</v>
      </c>
      <c r="D287" s="1347">
        <v>46267.520833333336</v>
      </c>
      <c r="E287" s="1347">
        <v>46267.407708333332</v>
      </c>
      <c r="F287" s="1410"/>
      <c r="G287" s="1345" t="s">
        <v>9349</v>
      </c>
      <c r="H287" s="1347">
        <v>46309.333333333336</v>
      </c>
      <c r="I287" s="1412"/>
    </row>
    <row r="288" spans="1:9" ht="14">
      <c r="A288" s="1344" t="s">
        <v>6499</v>
      </c>
      <c r="B288" s="1344">
        <v>6464354100</v>
      </c>
      <c r="C288" s="1344" t="s">
        <v>123</v>
      </c>
      <c r="D288" s="1346">
        <v>46273.041666666664</v>
      </c>
      <c r="E288" s="1346">
        <v>46273.077708333331</v>
      </c>
      <c r="F288" s="1411"/>
      <c r="G288" s="1344" t="s">
        <v>9351</v>
      </c>
      <c r="H288" s="1346">
        <v>46323.5625</v>
      </c>
      <c r="I288" s="1413"/>
    </row>
    <row r="289" spans="1:9" ht="14">
      <c r="A289" s="1345" t="s">
        <v>6504</v>
      </c>
      <c r="B289" s="1345">
        <v>6463662040</v>
      </c>
      <c r="C289" s="1345" t="s">
        <v>123</v>
      </c>
      <c r="D289" s="1347">
        <v>46271.375</v>
      </c>
      <c r="E289" s="1347">
        <v>46270.941423611112</v>
      </c>
      <c r="F289" s="1410"/>
      <c r="G289" s="1345" t="s">
        <v>9204</v>
      </c>
      <c r="H289" s="1347">
        <v>46309.25</v>
      </c>
      <c r="I289" s="1412"/>
    </row>
    <row r="290" spans="1:9" ht="14">
      <c r="A290" s="1344" t="s">
        <v>6529</v>
      </c>
      <c r="B290" s="1344">
        <v>6464243200</v>
      </c>
      <c r="C290" s="1344" t="s">
        <v>123</v>
      </c>
      <c r="D290" s="1346">
        <v>46273.041666666664</v>
      </c>
      <c r="E290" s="1346">
        <v>46273.077708333331</v>
      </c>
      <c r="F290" s="1411"/>
      <c r="G290" s="1344" t="s">
        <v>9204</v>
      </c>
      <c r="H290" s="1346">
        <v>46327.854166666664</v>
      </c>
      <c r="I290" s="1413"/>
    </row>
    <row r="291" spans="1:9" ht="14">
      <c r="A291" s="1345" t="s">
        <v>6537</v>
      </c>
      <c r="B291" s="1345">
        <v>6463660760</v>
      </c>
      <c r="C291" s="1345" t="s">
        <v>123</v>
      </c>
      <c r="D291" s="1347">
        <v>46271.375</v>
      </c>
      <c r="E291" s="1347">
        <v>46270.941423611112</v>
      </c>
      <c r="F291" s="1410"/>
      <c r="G291" s="1345" t="s">
        <v>9348</v>
      </c>
      <c r="H291" s="1347">
        <v>46303.833333333336</v>
      </c>
      <c r="I291" s="1412"/>
    </row>
    <row r="292" spans="1:9" ht="14">
      <c r="A292" s="1344" t="s">
        <v>6548</v>
      </c>
      <c r="B292" s="1344">
        <v>9509312590</v>
      </c>
      <c r="C292" s="1344" t="s">
        <v>5992</v>
      </c>
      <c r="D292" s="1346">
        <v>46273.645833333336</v>
      </c>
      <c r="E292" s="1346">
        <v>46273.670289351852</v>
      </c>
      <c r="F292" s="1411"/>
      <c r="G292" s="1344" t="s">
        <v>9353</v>
      </c>
      <c r="H292" s="1346">
        <v>46313.125</v>
      </c>
      <c r="I292" s="1413"/>
    </row>
    <row r="293" spans="1:9" ht="14">
      <c r="A293" s="1345" t="s">
        <v>6552</v>
      </c>
      <c r="B293" s="1345">
        <v>9509256240</v>
      </c>
      <c r="C293" s="1345" t="s">
        <v>5992</v>
      </c>
      <c r="D293" s="1347">
        <v>46273.645833333336</v>
      </c>
      <c r="E293" s="1347">
        <v>46273.670289351852</v>
      </c>
      <c r="F293" s="1410"/>
      <c r="G293" s="1345" t="s">
        <v>9353</v>
      </c>
      <c r="H293" s="1347">
        <v>46313.125</v>
      </c>
      <c r="I293" s="1412"/>
    </row>
    <row r="294" spans="1:9" ht="14">
      <c r="A294" s="1344" t="s">
        <v>6556</v>
      </c>
      <c r="B294" s="1344">
        <v>9509255750</v>
      </c>
      <c r="C294" s="1344" t="s">
        <v>5992</v>
      </c>
      <c r="D294" s="1346">
        <v>46272.625</v>
      </c>
      <c r="E294" s="1346">
        <v>46272.645995370367</v>
      </c>
      <c r="F294" s="1411"/>
      <c r="G294" s="1344" t="s">
        <v>9349</v>
      </c>
      <c r="H294" s="1346">
        <v>46309.333333333336</v>
      </c>
      <c r="I294" s="1413"/>
    </row>
    <row r="295" spans="1:9" ht="14">
      <c r="A295" s="1345" t="s">
        <v>6567</v>
      </c>
      <c r="B295" s="1345">
        <v>9509265340</v>
      </c>
      <c r="C295" s="1345" t="s">
        <v>5992</v>
      </c>
      <c r="D295" s="1347">
        <v>46269.041666666664</v>
      </c>
      <c r="E295" s="1347">
        <v>46269.101157407407</v>
      </c>
      <c r="F295" s="1410"/>
      <c r="G295" s="1345" t="s">
        <v>9353</v>
      </c>
      <c r="H295" s="1347">
        <v>46308.625</v>
      </c>
      <c r="I295" s="1412"/>
    </row>
    <row r="296" spans="1:9" ht="14">
      <c r="A296" s="1344" t="s">
        <v>6572</v>
      </c>
      <c r="B296" s="1344">
        <v>9509256340</v>
      </c>
      <c r="C296" s="1344" t="s">
        <v>5992</v>
      </c>
      <c r="D296" s="1346">
        <v>46268.333333333336</v>
      </c>
      <c r="E296" s="1346">
        <v>46268.365231481483</v>
      </c>
      <c r="F296" s="1411"/>
      <c r="G296" s="1344" t="s">
        <v>9204</v>
      </c>
      <c r="H296" s="1346">
        <v>46309.25</v>
      </c>
      <c r="I296" s="1413"/>
    </row>
    <row r="297" spans="1:9" ht="14">
      <c r="A297" s="1345" t="s">
        <v>6577</v>
      </c>
      <c r="B297" s="1345">
        <v>9509275330</v>
      </c>
      <c r="C297" s="1345" t="s">
        <v>9343</v>
      </c>
      <c r="D297" s="1347">
        <v>46269.833333333336</v>
      </c>
      <c r="E297" s="1347">
        <v>46269.854108796295</v>
      </c>
      <c r="F297" s="1410"/>
      <c r="G297" s="1345" t="s">
        <v>9349</v>
      </c>
      <c r="H297" s="1347">
        <v>46314.833333333336</v>
      </c>
      <c r="I297" s="1412"/>
    </row>
    <row r="298" spans="1:9" ht="14">
      <c r="A298" s="1344" t="s">
        <v>6583</v>
      </c>
      <c r="B298" s="1344">
        <v>9509296080</v>
      </c>
      <c r="C298" s="1344" t="s">
        <v>9343</v>
      </c>
      <c r="D298" s="1346">
        <v>46269.833333333336</v>
      </c>
      <c r="E298" s="1346">
        <v>46269.854108796295</v>
      </c>
      <c r="F298" s="1344" t="s">
        <v>9345</v>
      </c>
      <c r="G298" s="1344" t="s">
        <v>9204</v>
      </c>
      <c r="H298" s="1346">
        <v>46323.25</v>
      </c>
      <c r="I298" s="1413"/>
    </row>
    <row r="299" spans="1:9" ht="14">
      <c r="A299" s="1345" t="s">
        <v>6588</v>
      </c>
      <c r="B299" s="1345">
        <v>9509296500</v>
      </c>
      <c r="C299" s="1345" t="s">
        <v>9343</v>
      </c>
      <c r="D299" s="1347">
        <v>46269.833333333336</v>
      </c>
      <c r="E299" s="1347">
        <v>46269.854108796295</v>
      </c>
      <c r="F299" s="1345" t="s">
        <v>9345</v>
      </c>
      <c r="G299" s="1345" t="s">
        <v>9204</v>
      </c>
      <c r="H299" s="1347">
        <v>46335.791666666664</v>
      </c>
      <c r="I299" s="1412"/>
    </row>
    <row r="300" spans="1:9" ht="14">
      <c r="A300" s="1344" t="s">
        <v>6592</v>
      </c>
      <c r="B300" s="1344">
        <v>9509296870</v>
      </c>
      <c r="C300" s="1344" t="s">
        <v>9343</v>
      </c>
      <c r="D300" s="1346">
        <v>46269.833333333336</v>
      </c>
      <c r="E300" s="1346">
        <v>46269.854108796295</v>
      </c>
      <c r="F300" s="1344" t="s">
        <v>9358</v>
      </c>
      <c r="G300" s="1344" t="s">
        <v>9347</v>
      </c>
      <c r="H300" s="1413"/>
      <c r="I300" s="1413"/>
    </row>
    <row r="301" spans="1:9" ht="14">
      <c r="A301" s="1345" t="s">
        <v>6604</v>
      </c>
      <c r="B301" s="1345">
        <v>6464780390</v>
      </c>
      <c r="C301" s="1345" t="s">
        <v>123</v>
      </c>
      <c r="D301" s="1347">
        <v>46274.083333333336</v>
      </c>
      <c r="E301" s="1347">
        <v>46274.103541666664</v>
      </c>
      <c r="F301" s="1410"/>
      <c r="G301" s="1345" t="s">
        <v>9353</v>
      </c>
      <c r="H301" s="1347">
        <v>46313.041666666664</v>
      </c>
      <c r="I301" s="1412"/>
    </row>
    <row r="302" spans="1:9" ht="14">
      <c r="A302" s="1344" t="s">
        <v>6608</v>
      </c>
      <c r="B302" s="1344">
        <v>6464774420</v>
      </c>
      <c r="C302" s="1344" t="s">
        <v>123</v>
      </c>
      <c r="D302" s="1346">
        <v>46278.708333333336</v>
      </c>
      <c r="E302" s="1346">
        <v>46278.586898148147</v>
      </c>
      <c r="F302" s="1411"/>
      <c r="G302" s="1344" t="s">
        <v>9349</v>
      </c>
      <c r="H302" s="1346">
        <v>46314.833333333336</v>
      </c>
      <c r="I302" s="1413"/>
    </row>
    <row r="303" spans="1:9" ht="14">
      <c r="A303" s="1345" t="s">
        <v>6613</v>
      </c>
      <c r="B303" s="1345">
        <v>6464775680</v>
      </c>
      <c r="C303" s="1345" t="s">
        <v>123</v>
      </c>
      <c r="D303" s="1347">
        <v>46277.8125</v>
      </c>
      <c r="E303" s="1347">
        <v>46277.716585648152</v>
      </c>
      <c r="F303" s="1410"/>
      <c r="G303" s="1345" t="s">
        <v>9349</v>
      </c>
      <c r="H303" s="1347">
        <v>46316.875</v>
      </c>
      <c r="I303" s="1412"/>
    </row>
    <row r="304" spans="1:9" ht="14">
      <c r="A304" s="1344" t="s">
        <v>6618</v>
      </c>
      <c r="B304" s="1344">
        <v>6464778420</v>
      </c>
      <c r="C304" s="1344" t="s">
        <v>123</v>
      </c>
      <c r="D304" s="1346">
        <v>46276.520833333336</v>
      </c>
      <c r="E304" s="1346">
        <v>46276.53597222222</v>
      </c>
      <c r="F304" s="1411"/>
      <c r="G304" s="1344" t="s">
        <v>9349</v>
      </c>
      <c r="H304" s="1346">
        <v>46320.395833333336</v>
      </c>
      <c r="I304" s="1413"/>
    </row>
    <row r="305" spans="1:9" ht="14">
      <c r="A305" s="1345" t="s">
        <v>6623</v>
      </c>
      <c r="B305" s="1345">
        <v>6464781690</v>
      </c>
      <c r="C305" s="1345" t="s">
        <v>123</v>
      </c>
      <c r="D305" s="1347">
        <v>46277.791666666664</v>
      </c>
      <c r="E305" s="1347">
        <v>46277.833090277774</v>
      </c>
      <c r="F305" s="1410"/>
      <c r="G305" s="1345" t="s">
        <v>9204</v>
      </c>
      <c r="H305" s="1347">
        <v>46316.25</v>
      </c>
      <c r="I305" s="1412"/>
    </row>
    <row r="306" spans="1:9" ht="14">
      <c r="A306" s="1344" t="s">
        <v>6630</v>
      </c>
      <c r="B306" s="1344">
        <v>6464783150</v>
      </c>
      <c r="C306" s="1344" t="s">
        <v>123</v>
      </c>
      <c r="D306" s="1346">
        <v>46283.604166666664</v>
      </c>
      <c r="E306" s="1413"/>
      <c r="F306" s="1411"/>
      <c r="G306" s="1344" t="s">
        <v>9204</v>
      </c>
      <c r="H306" s="1346">
        <v>46328.791666666664</v>
      </c>
      <c r="I306" s="1413"/>
    </row>
    <row r="307" spans="1:9" ht="14">
      <c r="A307" s="1345" t="s">
        <v>6638</v>
      </c>
      <c r="B307" s="1345">
        <v>6464784160</v>
      </c>
      <c r="C307" s="1345" t="s">
        <v>123</v>
      </c>
      <c r="D307" s="1347">
        <v>46273.041666666664</v>
      </c>
      <c r="E307" s="1347">
        <v>46273.077708333331</v>
      </c>
      <c r="F307" s="1410"/>
      <c r="G307" s="1345" t="s">
        <v>9348</v>
      </c>
      <c r="H307" s="1347">
        <v>46330.520833333336</v>
      </c>
      <c r="I307" s="1412"/>
    </row>
    <row r="308" spans="1:9" ht="14">
      <c r="A308" s="1344" t="s">
        <v>6642</v>
      </c>
      <c r="B308" s="1344">
        <v>6465498240</v>
      </c>
      <c r="C308" s="1344" t="s">
        <v>123</v>
      </c>
      <c r="D308" s="1346">
        <v>46277.791666666664</v>
      </c>
      <c r="E308" s="1346">
        <v>46277.833090277774</v>
      </c>
      <c r="F308" s="1411"/>
      <c r="G308" s="1344" t="s">
        <v>9348</v>
      </c>
      <c r="H308" s="1346">
        <v>46310.833333333336</v>
      </c>
      <c r="I308" s="1413"/>
    </row>
    <row r="309" spans="1:9" ht="14">
      <c r="A309" s="1345" t="s">
        <v>6655</v>
      </c>
      <c r="B309" s="1345">
        <v>9509606910</v>
      </c>
      <c r="C309" s="1345" t="s">
        <v>5992</v>
      </c>
      <c r="D309" s="1347">
        <v>46282.416666666664</v>
      </c>
      <c r="E309" s="1412"/>
      <c r="F309" s="1410"/>
      <c r="G309" s="1345" t="s">
        <v>9349</v>
      </c>
      <c r="H309" s="1347">
        <v>46314.833333333336</v>
      </c>
      <c r="I309" s="1412"/>
    </row>
    <row r="310" spans="1:9" ht="14">
      <c r="A310" s="1344" t="s">
        <v>6659</v>
      </c>
      <c r="B310" s="1344">
        <v>9509606920</v>
      </c>
      <c r="C310" s="1344" t="s">
        <v>5992</v>
      </c>
      <c r="D310" s="1346">
        <v>46283.666666666664</v>
      </c>
      <c r="E310" s="1413"/>
      <c r="F310" s="1411"/>
      <c r="G310" s="1344" t="s">
        <v>9349</v>
      </c>
      <c r="H310" s="1346">
        <v>46316.875</v>
      </c>
      <c r="I310" s="1413"/>
    </row>
    <row r="311" spans="1:9" ht="14">
      <c r="A311" s="1345" t="s">
        <v>6667</v>
      </c>
      <c r="B311" s="1345">
        <v>6465715640</v>
      </c>
      <c r="C311" s="1345" t="s">
        <v>123</v>
      </c>
      <c r="D311" s="1347">
        <v>46279.6875</v>
      </c>
      <c r="E311" s="1347">
        <v>46279.699814814812</v>
      </c>
      <c r="F311" s="1410"/>
      <c r="G311" s="1345" t="s">
        <v>9354</v>
      </c>
      <c r="H311" s="1347">
        <v>46330.25</v>
      </c>
      <c r="I311" s="1412"/>
    </row>
    <row r="312" spans="1:9" ht="14">
      <c r="A312" s="1344" t="s">
        <v>6686</v>
      </c>
      <c r="B312" s="1344">
        <v>6465717250</v>
      </c>
      <c r="C312" s="1344" t="s">
        <v>123</v>
      </c>
      <c r="D312" s="1346">
        <v>46285.000694444447</v>
      </c>
      <c r="E312" s="1413"/>
      <c r="F312" s="1411"/>
      <c r="G312" s="1344" t="s">
        <v>9349</v>
      </c>
      <c r="H312" s="1346">
        <v>46319.875</v>
      </c>
      <c r="I312" s="1413"/>
    </row>
    <row r="313" spans="1:9" ht="14">
      <c r="A313" s="1345" t="s">
        <v>6693</v>
      </c>
      <c r="B313" s="1345">
        <v>6466066070</v>
      </c>
      <c r="C313" s="1345" t="s">
        <v>123</v>
      </c>
      <c r="D313" s="1347">
        <v>46282.395833333336</v>
      </c>
      <c r="E313" s="1412"/>
      <c r="F313" s="1410"/>
      <c r="G313" s="1345" t="s">
        <v>9349</v>
      </c>
      <c r="H313" s="1347">
        <v>46326.791666666664</v>
      </c>
      <c r="I313" s="1412"/>
    </row>
    <row r="314" spans="1:9" ht="14">
      <c r="A314" s="1344" t="s">
        <v>6701</v>
      </c>
      <c r="B314" s="1344">
        <v>6466067620</v>
      </c>
      <c r="C314" s="1344" t="s">
        <v>123</v>
      </c>
      <c r="D314" s="1346">
        <v>46282.125</v>
      </c>
      <c r="E314" s="1413"/>
      <c r="F314" s="1411"/>
      <c r="G314" s="1344" t="s">
        <v>9349</v>
      </c>
      <c r="H314" s="1346">
        <v>46319.333333333336</v>
      </c>
      <c r="I314" s="1413"/>
    </row>
    <row r="315" spans="1:9" ht="14">
      <c r="A315" s="1345" t="s">
        <v>6710</v>
      </c>
      <c r="B315" s="1345">
        <v>6465719640</v>
      </c>
      <c r="C315" s="1345" t="s">
        <v>123</v>
      </c>
      <c r="D315" s="1347">
        <v>46279.6875</v>
      </c>
      <c r="E315" s="1347">
        <v>46279.699814814812</v>
      </c>
      <c r="F315" s="1345" t="s">
        <v>9355</v>
      </c>
      <c r="G315" s="1345" t="s">
        <v>9204</v>
      </c>
      <c r="H315" s="1347">
        <v>46323.25</v>
      </c>
      <c r="I315" s="1412"/>
    </row>
    <row r="316" spans="1:9" ht="14">
      <c r="A316" s="1344" t="s">
        <v>6731</v>
      </c>
      <c r="B316" s="1344">
        <v>6466858750</v>
      </c>
      <c r="C316" s="1344" t="s">
        <v>123</v>
      </c>
      <c r="D316" s="1346">
        <v>46293.4375</v>
      </c>
      <c r="E316" s="1413"/>
      <c r="F316" s="1411"/>
      <c r="G316" s="1344" t="s">
        <v>9354</v>
      </c>
      <c r="H316" s="1346">
        <v>46338.125</v>
      </c>
      <c r="I316" s="1413"/>
    </row>
    <row r="317" spans="1:9" ht="14">
      <c r="A317" s="1345" t="s">
        <v>6735</v>
      </c>
      <c r="B317" s="1345">
        <v>6467013360</v>
      </c>
      <c r="C317" s="1345" t="s">
        <v>123</v>
      </c>
      <c r="D317" s="1347">
        <v>46288.416666666664</v>
      </c>
      <c r="E317" s="1412"/>
      <c r="F317" s="1410"/>
      <c r="G317" s="1345" t="s">
        <v>9349</v>
      </c>
      <c r="H317" s="1347">
        <v>46326.875</v>
      </c>
      <c r="I317" s="1412"/>
    </row>
    <row r="318" spans="1:9" ht="14">
      <c r="A318" s="1344" t="s">
        <v>6740</v>
      </c>
      <c r="B318" s="1344">
        <v>6467015120</v>
      </c>
      <c r="C318" s="1344" t="s">
        <v>123</v>
      </c>
      <c r="D318" s="1346">
        <v>46290.229166666664</v>
      </c>
      <c r="E318" s="1413"/>
      <c r="F318" s="1411"/>
      <c r="G318" s="1344" t="s">
        <v>9351</v>
      </c>
      <c r="H318" s="1346">
        <v>46337.229166666664</v>
      </c>
      <c r="I318" s="1413"/>
    </row>
    <row r="319" spans="1:9" ht="14">
      <c r="A319" s="1345" t="s">
        <v>6744</v>
      </c>
      <c r="B319" s="1345">
        <v>6467017560</v>
      </c>
      <c r="C319" s="1345" t="s">
        <v>123</v>
      </c>
      <c r="D319" s="1347">
        <v>46288.020833333336</v>
      </c>
      <c r="E319" s="1412"/>
      <c r="F319" s="1410"/>
      <c r="G319" s="1345" t="s">
        <v>9204</v>
      </c>
      <c r="H319" s="1347">
        <v>46330.25</v>
      </c>
      <c r="I319" s="1412"/>
    </row>
    <row r="320" spans="1:9" ht="14">
      <c r="A320" s="1344" t="s">
        <v>6747</v>
      </c>
      <c r="B320" s="1344">
        <v>6467016280</v>
      </c>
      <c r="C320" s="1344" t="s">
        <v>123</v>
      </c>
      <c r="D320" s="1346">
        <v>46290.229166666664</v>
      </c>
      <c r="E320" s="1413"/>
      <c r="F320" s="1411"/>
      <c r="G320" s="1344" t="s">
        <v>9204</v>
      </c>
      <c r="H320" s="1346">
        <v>46342.770833333336</v>
      </c>
      <c r="I320" s="1413"/>
    </row>
    <row r="321" spans="1:9" ht="14">
      <c r="A321" s="1345" t="s">
        <v>6753</v>
      </c>
      <c r="B321" s="1345">
        <v>6467090510</v>
      </c>
      <c r="C321" s="1345" t="s">
        <v>123</v>
      </c>
      <c r="D321" s="1347">
        <v>46290.229166666664</v>
      </c>
      <c r="E321" s="1412"/>
      <c r="F321" s="1410"/>
      <c r="G321" s="1345" t="s">
        <v>9348</v>
      </c>
      <c r="H321" s="1347">
        <v>46345.604166666664</v>
      </c>
      <c r="I321" s="1412"/>
    </row>
    <row r="322" spans="1:9" ht="14">
      <c r="A322" s="1344" t="s">
        <v>6779</v>
      </c>
      <c r="B322" s="1344">
        <v>6466678170</v>
      </c>
      <c r="C322" s="1344" t="s">
        <v>123</v>
      </c>
      <c r="D322" s="1346">
        <v>46288.875</v>
      </c>
      <c r="E322" s="1413"/>
      <c r="F322" s="1411"/>
      <c r="G322" s="1344" t="s">
        <v>9349</v>
      </c>
      <c r="H322" s="1346">
        <v>46324.854166666664</v>
      </c>
      <c r="I322" s="1413"/>
    </row>
    <row r="323" spans="1:9" ht="14">
      <c r="A323" s="1345" t="s">
        <v>6794</v>
      </c>
      <c r="B323" s="1345">
        <v>6466631520</v>
      </c>
      <c r="C323" s="1345" t="s">
        <v>123</v>
      </c>
      <c r="D323" s="1347">
        <v>46289.5</v>
      </c>
      <c r="E323" s="1412"/>
      <c r="F323" s="1410"/>
      <c r="G323" s="1345" t="s">
        <v>9349</v>
      </c>
      <c r="H323" s="1347">
        <v>46333.770833333336</v>
      </c>
      <c r="I323" s="1412"/>
    </row>
    <row r="324" spans="1:9" ht="14">
      <c r="A324" s="1344" t="s">
        <v>6809</v>
      </c>
      <c r="B324" s="1344">
        <v>6464983000</v>
      </c>
      <c r="C324" s="1344" t="s">
        <v>9343</v>
      </c>
      <c r="D324" s="1346">
        <v>46275.833333333336</v>
      </c>
      <c r="E324" s="1346">
        <v>46275.864525462966</v>
      </c>
      <c r="F324" s="1411"/>
      <c r="G324" s="1344" t="s">
        <v>9349</v>
      </c>
      <c r="H324" s="1346">
        <v>46319.333333333336</v>
      </c>
      <c r="I324" s="1413"/>
    </row>
    <row r="325" spans="1:9" ht="14">
      <c r="A325" s="1345" t="s">
        <v>6813</v>
      </c>
      <c r="B325" s="1345">
        <v>9509511700</v>
      </c>
      <c r="C325" s="1345" t="s">
        <v>9343</v>
      </c>
      <c r="D325" s="1347">
        <v>46275.833333333336</v>
      </c>
      <c r="E325" s="1347">
        <v>46275.864525462966</v>
      </c>
      <c r="F325" s="1410"/>
      <c r="G325" s="1345" t="s">
        <v>9349</v>
      </c>
      <c r="H325" s="1347">
        <v>46319.333333333336</v>
      </c>
      <c r="I325" s="1412"/>
    </row>
    <row r="326" spans="1:9" ht="14">
      <c r="A326" s="1344" t="s">
        <v>6845</v>
      </c>
      <c r="B326" s="1344">
        <v>9509786940</v>
      </c>
      <c r="C326" s="1344" t="s">
        <v>9343</v>
      </c>
      <c r="D326" s="1346">
        <v>46284.958333333336</v>
      </c>
      <c r="E326" s="1413"/>
      <c r="F326" s="1411"/>
      <c r="G326" s="1344" t="s">
        <v>9349</v>
      </c>
      <c r="H326" s="1346">
        <v>46329.333333333336</v>
      </c>
      <c r="I326" s="1413"/>
    </row>
    <row r="327" spans="1:9" ht="14">
      <c r="A327" s="1345" t="s">
        <v>6853</v>
      </c>
      <c r="B327" s="1345">
        <v>9509736950</v>
      </c>
      <c r="C327" s="1345" t="s">
        <v>5992</v>
      </c>
      <c r="D327" s="1347">
        <v>46280.958333333336</v>
      </c>
      <c r="E327" s="1412"/>
      <c r="F327" s="1410"/>
      <c r="G327" s="1345" t="s">
        <v>9204</v>
      </c>
      <c r="H327" s="1347">
        <v>46323.25</v>
      </c>
      <c r="I327" s="1412"/>
    </row>
    <row r="328" spans="1:9" ht="14">
      <c r="A328" s="1344" t="s">
        <v>6856</v>
      </c>
      <c r="B328" s="1344">
        <v>9509736980</v>
      </c>
      <c r="C328" s="1344" t="s">
        <v>5992</v>
      </c>
      <c r="D328" s="1346">
        <v>46285.104166666664</v>
      </c>
      <c r="E328" s="1413"/>
      <c r="F328" s="1411"/>
      <c r="G328" s="1344" t="s">
        <v>9204</v>
      </c>
      <c r="H328" s="1346">
        <v>46328.791666666664</v>
      </c>
      <c r="I328" s="1413"/>
    </row>
    <row r="329" spans="1:9" ht="14">
      <c r="A329" s="1345" t="s">
        <v>6861</v>
      </c>
      <c r="B329" s="1345">
        <v>9509739210</v>
      </c>
      <c r="C329" s="1345" t="s">
        <v>5992</v>
      </c>
      <c r="D329" s="1347">
        <v>46290.583333333336</v>
      </c>
      <c r="E329" s="1412"/>
      <c r="F329" s="1410"/>
      <c r="G329" s="1345" t="s">
        <v>9204</v>
      </c>
      <c r="H329" s="1347">
        <v>46335.791666666664</v>
      </c>
      <c r="I329" s="1412"/>
    </row>
    <row r="330" spans="1:9" ht="14">
      <c r="A330" s="1344" t="s">
        <v>6865</v>
      </c>
      <c r="B330" s="1344">
        <v>9509531260</v>
      </c>
      <c r="C330" s="1344" t="s">
        <v>9343</v>
      </c>
      <c r="D330" s="1346">
        <v>46275.833333333336</v>
      </c>
      <c r="E330" s="1346">
        <v>46275.864525462966</v>
      </c>
      <c r="F330" s="1344" t="s">
        <v>123</v>
      </c>
      <c r="G330" s="1344" t="s">
        <v>9204</v>
      </c>
      <c r="H330" s="1346">
        <v>46330.25</v>
      </c>
      <c r="I330" s="1413"/>
    </row>
    <row r="331" spans="1:9" ht="14">
      <c r="A331" s="1345" t="s">
        <v>6869</v>
      </c>
      <c r="B331" s="1345">
        <v>9509531180</v>
      </c>
      <c r="C331" s="1345" t="s">
        <v>9343</v>
      </c>
      <c r="D331" s="1347">
        <v>46275.833333333336</v>
      </c>
      <c r="E331" s="1347">
        <v>46275.864525462966</v>
      </c>
      <c r="F331" s="1345" t="s">
        <v>123</v>
      </c>
      <c r="G331" s="1345" t="s">
        <v>9204</v>
      </c>
      <c r="H331" s="1347">
        <v>46342.770833333336</v>
      </c>
      <c r="I331" s="1412"/>
    </row>
    <row r="332" spans="1:9" ht="14">
      <c r="A332" s="1344" t="s">
        <v>6901</v>
      </c>
      <c r="B332" s="1344">
        <v>9509601430</v>
      </c>
      <c r="C332" s="1344" t="s">
        <v>9343</v>
      </c>
      <c r="D332" s="1346">
        <v>46279.979166666664</v>
      </c>
      <c r="E332" s="1346">
        <v>46279.989803240744</v>
      </c>
      <c r="F332" s="1344" t="s">
        <v>9345</v>
      </c>
      <c r="G332" s="1344" t="s">
        <v>9204</v>
      </c>
      <c r="H332" s="1346">
        <v>46349.791666666664</v>
      </c>
      <c r="I332" s="1413"/>
    </row>
    <row r="333" spans="1:9" ht="14">
      <c r="A333" s="1345" t="s">
        <v>6905</v>
      </c>
      <c r="B333" s="1345">
        <v>9509601740</v>
      </c>
      <c r="C333" s="1345" t="s">
        <v>9343</v>
      </c>
      <c r="D333" s="1347">
        <v>46279.979166666664</v>
      </c>
      <c r="E333" s="1347">
        <v>46279.989803240744</v>
      </c>
      <c r="F333" s="1345" t="s">
        <v>9345</v>
      </c>
      <c r="G333" s="1345" t="s">
        <v>9204</v>
      </c>
      <c r="H333" s="1347">
        <v>46337.25</v>
      </c>
      <c r="I333" s="1412"/>
    </row>
    <row r="334" spans="1:9" ht="14">
      <c r="A334" s="1344" t="s">
        <v>6909</v>
      </c>
      <c r="B334" s="1344">
        <v>9509811770</v>
      </c>
      <c r="C334" s="1344" t="s">
        <v>5992</v>
      </c>
      <c r="D334" s="1346">
        <v>46287.5</v>
      </c>
      <c r="E334" s="1413"/>
      <c r="F334" s="1411"/>
      <c r="G334" s="1344" t="s">
        <v>9349</v>
      </c>
      <c r="H334" s="1346">
        <v>46319.333333333336</v>
      </c>
      <c r="I334" s="1413"/>
    </row>
    <row r="335" spans="1:9" ht="14">
      <c r="A335" s="1345" t="s">
        <v>6913</v>
      </c>
      <c r="B335" s="1345">
        <v>9509811250</v>
      </c>
      <c r="C335" s="1345" t="s">
        <v>5992</v>
      </c>
      <c r="D335" s="1347">
        <v>46286.75</v>
      </c>
      <c r="E335" s="1412"/>
      <c r="F335" s="1410"/>
      <c r="G335" s="1345" t="s">
        <v>9349</v>
      </c>
      <c r="H335" s="1347">
        <v>46319.875</v>
      </c>
      <c r="I335" s="1412"/>
    </row>
    <row r="336" spans="1:9" ht="14">
      <c r="A336" s="1344" t="s">
        <v>6916</v>
      </c>
      <c r="B336" s="1344">
        <v>9509912990</v>
      </c>
      <c r="C336" s="1344" t="s">
        <v>5992</v>
      </c>
      <c r="D336" s="1346">
        <v>46287.5</v>
      </c>
      <c r="E336" s="1413"/>
      <c r="F336" s="1411"/>
      <c r="G336" s="1344" t="s">
        <v>9349</v>
      </c>
      <c r="H336" s="1346">
        <v>46319.333333333336</v>
      </c>
      <c r="I336" s="1413"/>
    </row>
    <row r="337" spans="1:9" ht="14">
      <c r="A337" s="1345" t="s">
        <v>6921</v>
      </c>
      <c r="B337" s="1345">
        <v>9509650560</v>
      </c>
      <c r="C337" s="1345" t="s">
        <v>5992</v>
      </c>
      <c r="D337" s="1347">
        <v>46278.78125</v>
      </c>
      <c r="E337" s="1347">
        <v>46278.549780092595</v>
      </c>
      <c r="F337" s="1410"/>
      <c r="G337" s="1345" t="s">
        <v>9354</v>
      </c>
      <c r="H337" s="1347">
        <v>46323.25</v>
      </c>
      <c r="I337" s="1412"/>
    </row>
    <row r="338" spans="1:9" ht="14">
      <c r="A338" s="1344" t="s">
        <v>6925</v>
      </c>
      <c r="B338" s="1344">
        <v>9509488350</v>
      </c>
      <c r="C338" s="1344" t="s">
        <v>5992</v>
      </c>
      <c r="D338" s="1346">
        <v>46279.75</v>
      </c>
      <c r="E338" s="1346">
        <v>46279.80667824074</v>
      </c>
      <c r="F338" s="1411"/>
      <c r="G338" s="1344" t="s">
        <v>9204</v>
      </c>
      <c r="H338" s="1346">
        <v>46327.854166666664</v>
      </c>
      <c r="I338" s="1413"/>
    </row>
    <row r="339" spans="1:9" ht="14">
      <c r="A339" s="1345" t="s">
        <v>6952</v>
      </c>
      <c r="B339" s="1345">
        <v>9509787370</v>
      </c>
      <c r="C339" s="1345" t="s">
        <v>9343</v>
      </c>
      <c r="D339" s="1347">
        <v>46284.958333333336</v>
      </c>
      <c r="E339" s="1412"/>
      <c r="F339" s="1345" t="s">
        <v>9345</v>
      </c>
      <c r="G339" s="1345" t="s">
        <v>9204</v>
      </c>
      <c r="H339" s="1347">
        <v>46344.25</v>
      </c>
      <c r="I339" s="1412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9362</v>
      </c>
    </row>
    <row r="4" spans="1:12">
      <c r="A4" s="171" t="s">
        <v>7</v>
      </c>
      <c r="B4" t="s">
        <v>9362</v>
      </c>
    </row>
    <row r="5" spans="1:12">
      <c r="A5" s="171" t="s">
        <v>44</v>
      </c>
      <c r="B5" t="s">
        <v>9362</v>
      </c>
    </row>
    <row r="7" spans="1:12">
      <c r="A7" s="171" t="s">
        <v>9363</v>
      </c>
      <c r="B7" s="171" t="s">
        <v>9364</v>
      </c>
    </row>
    <row r="8" spans="1:12">
      <c r="A8" s="171" t="s">
        <v>9365</v>
      </c>
      <c r="B8" t="s">
        <v>6650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9366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31</v>
      </c>
      <c r="I13" s="495">
        <v>23</v>
      </c>
      <c r="J13" s="495">
        <v>14</v>
      </c>
      <c r="K13" s="495">
        <v>19</v>
      </c>
      <c r="L13" s="495">
        <v>201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17</v>
      </c>
      <c r="I15" s="495">
        <v>22</v>
      </c>
      <c r="J15" s="495">
        <v>13</v>
      </c>
      <c r="K15" s="495">
        <v>11</v>
      </c>
      <c r="L15" s="495">
        <v>158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9366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62</v>
      </c>
      <c r="I32" s="495">
        <v>91</v>
      </c>
      <c r="J32" s="495">
        <v>80</v>
      </c>
      <c r="K32" s="495">
        <v>42</v>
      </c>
      <c r="L32" s="495">
        <v>638.06818181818187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O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15.09765625" bestFit="1" customWidth="1"/>
    <col min="3" max="3" width="43.09765625" bestFit="1" customWidth="1"/>
    <col min="4" max="14" width="13.89843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9362</v>
      </c>
    </row>
    <row r="2" spans="1:3">
      <c r="A2" s="171" t="s">
        <v>20</v>
      </c>
      <c r="B2" t="s">
        <v>9362</v>
      </c>
      <c r="C2" t="s">
        <v>9367</v>
      </c>
    </row>
    <row r="3" spans="1:3">
      <c r="A3" s="171" t="s">
        <v>2507</v>
      </c>
      <c r="B3" t="s">
        <v>9368</v>
      </c>
      <c r="C3" t="s">
        <v>9369</v>
      </c>
    </row>
    <row r="4" spans="1:3">
      <c r="A4" s="171" t="s">
        <v>39</v>
      </c>
      <c r="B4" t="s">
        <v>9370</v>
      </c>
      <c r="C4" t="s">
        <v>9371</v>
      </c>
    </row>
    <row r="6" spans="1:3">
      <c r="A6" s="171" t="s">
        <v>15</v>
      </c>
      <c r="B6" s="171" t="s">
        <v>5</v>
      </c>
      <c r="C6" t="s">
        <v>9372</v>
      </c>
    </row>
    <row r="7" spans="1:3">
      <c r="A7" t="s">
        <v>9366</v>
      </c>
      <c r="C7" s="354"/>
    </row>
    <row r="75" spans="1:2">
      <c r="A75" s="362" t="s">
        <v>9373</v>
      </c>
    </row>
    <row r="78" spans="1:2">
      <c r="A78" s="171" t="s">
        <v>0</v>
      </c>
      <c r="B78" t="s">
        <v>9368</v>
      </c>
    </row>
    <row r="79" spans="1:2">
      <c r="A79" s="171" t="s">
        <v>33</v>
      </c>
      <c r="B79" t="s">
        <v>9368</v>
      </c>
    </row>
    <row r="80" spans="1:2">
      <c r="A80" s="171" t="s">
        <v>53</v>
      </c>
      <c r="B80" t="s">
        <v>9362</v>
      </c>
    </row>
    <row r="82" spans="1:15">
      <c r="A82" s="171" t="s">
        <v>9374</v>
      </c>
      <c r="C82" s="171" t="s">
        <v>54</v>
      </c>
    </row>
    <row r="83" spans="1:15">
      <c r="A83" s="171" t="s">
        <v>16</v>
      </c>
      <c r="B83" s="171" t="s">
        <v>15</v>
      </c>
      <c r="C83">
        <v>1</v>
      </c>
      <c r="D83">
        <v>2</v>
      </c>
      <c r="E83">
        <v>3</v>
      </c>
      <c r="F83">
        <v>4</v>
      </c>
      <c r="G83">
        <v>5</v>
      </c>
      <c r="H83">
        <v>7</v>
      </c>
      <c r="I83">
        <v>8</v>
      </c>
      <c r="J83">
        <v>9</v>
      </c>
      <c r="K83">
        <v>10</v>
      </c>
      <c r="L83">
        <v>11</v>
      </c>
      <c r="M83">
        <v>12</v>
      </c>
      <c r="N83" t="s">
        <v>9370</v>
      </c>
      <c r="O83" t="s">
        <v>9366</v>
      </c>
    </row>
    <row r="84" spans="1:15">
      <c r="A84" t="s">
        <v>7092</v>
      </c>
      <c r="B84" t="s">
        <v>7091</v>
      </c>
      <c r="C84" s="1441">
        <v>29</v>
      </c>
      <c r="D84" s="1441">
        <v>10</v>
      </c>
      <c r="E84" s="1441"/>
      <c r="F84" s="1441"/>
      <c r="G84" s="1441"/>
      <c r="H84" s="1441">
        <v>106</v>
      </c>
      <c r="I84" s="1441"/>
      <c r="J84" s="1441">
        <v>144</v>
      </c>
      <c r="K84" s="1441">
        <v>124</v>
      </c>
      <c r="L84" s="1441">
        <v>38</v>
      </c>
      <c r="M84" s="1441"/>
      <c r="N84" s="1441"/>
      <c r="O84" s="1441">
        <v>451</v>
      </c>
    </row>
    <row r="85" spans="1:15">
      <c r="A85" t="s">
        <v>7117</v>
      </c>
      <c r="B85" t="s">
        <v>7116</v>
      </c>
      <c r="C85" s="1441">
        <v>23</v>
      </c>
      <c r="D85" s="1441"/>
      <c r="E85" s="1441"/>
      <c r="F85" s="1441">
        <v>100</v>
      </c>
      <c r="G85" s="1441"/>
      <c r="H85" s="1441"/>
      <c r="I85" s="1441"/>
      <c r="J85" s="1441">
        <v>53</v>
      </c>
      <c r="K85" s="1441">
        <v>34</v>
      </c>
      <c r="L85" s="1441">
        <v>58</v>
      </c>
      <c r="M85" s="1441"/>
      <c r="N85" s="1441"/>
      <c r="O85" s="1441">
        <v>268</v>
      </c>
    </row>
    <row r="86" spans="1:15">
      <c r="A86" t="s">
        <v>7084</v>
      </c>
      <c r="B86" t="s">
        <v>7082</v>
      </c>
      <c r="C86" s="1441">
        <v>326</v>
      </c>
      <c r="D86" s="1441">
        <v>325</v>
      </c>
      <c r="E86" s="1441"/>
      <c r="F86" s="1441">
        <v>296</v>
      </c>
      <c r="G86" s="1441"/>
      <c r="H86" s="1441">
        <v>488</v>
      </c>
      <c r="I86" s="1441">
        <v>320</v>
      </c>
      <c r="J86" s="1441">
        <v>936</v>
      </c>
      <c r="K86" s="1441">
        <v>682</v>
      </c>
      <c r="L86" s="1441">
        <v>730</v>
      </c>
      <c r="M86" s="1441"/>
      <c r="N86" s="1441"/>
      <c r="O86" s="1441">
        <v>4103</v>
      </c>
    </row>
    <row r="87" spans="1:15">
      <c r="A87" t="s">
        <v>7089</v>
      </c>
      <c r="B87" t="s">
        <v>7088</v>
      </c>
      <c r="C87" s="1441"/>
      <c r="D87" s="1441">
        <v>60</v>
      </c>
      <c r="E87" s="1441">
        <v>34</v>
      </c>
      <c r="F87" s="1441">
        <v>6</v>
      </c>
      <c r="G87" s="1441"/>
      <c r="H87" s="1441">
        <v>2</v>
      </c>
      <c r="I87" s="1441"/>
      <c r="J87" s="1441"/>
      <c r="K87" s="1441"/>
      <c r="L87" s="1441"/>
      <c r="M87" s="1441"/>
      <c r="N87" s="1441"/>
      <c r="O87" s="1441">
        <v>102</v>
      </c>
    </row>
    <row r="88" spans="1:15">
      <c r="A88" t="s">
        <v>7072</v>
      </c>
      <c r="B88" t="s">
        <v>7070</v>
      </c>
      <c r="C88" s="1441"/>
      <c r="D88" s="1441">
        <v>78</v>
      </c>
      <c r="E88" s="1441"/>
      <c r="F88" s="1441">
        <v>10</v>
      </c>
      <c r="G88" s="1441">
        <v>72</v>
      </c>
      <c r="H88" s="1441">
        <v>78</v>
      </c>
      <c r="I88" s="1441">
        <v>165</v>
      </c>
      <c r="J88" s="1441">
        <v>360</v>
      </c>
      <c r="K88" s="1441">
        <v>180</v>
      </c>
      <c r="L88" s="1441">
        <v>180</v>
      </c>
      <c r="M88" s="1441"/>
      <c r="N88" s="1441">
        <v>108</v>
      </c>
      <c r="O88" s="1441">
        <v>1231</v>
      </c>
    </row>
    <row r="89" spans="1:15">
      <c r="A89" t="s">
        <v>7096</v>
      </c>
      <c r="B89" t="s">
        <v>7141</v>
      </c>
      <c r="C89" s="1441"/>
      <c r="D89" s="1441"/>
      <c r="E89" s="1441">
        <v>34</v>
      </c>
      <c r="F89" s="1441"/>
      <c r="G89" s="1441"/>
      <c r="H89" s="1441">
        <v>2</v>
      </c>
      <c r="I89" s="1441"/>
      <c r="J89" s="1441"/>
      <c r="K89" s="1441"/>
      <c r="L89" s="1441"/>
      <c r="M89" s="1441"/>
      <c r="N89" s="1441"/>
      <c r="O89" s="1441">
        <v>36</v>
      </c>
    </row>
    <row r="90" spans="1:15">
      <c r="B90" t="s">
        <v>7094</v>
      </c>
      <c r="C90" s="1441">
        <v>379</v>
      </c>
      <c r="D90" s="1441">
        <v>395</v>
      </c>
      <c r="E90" s="1441"/>
      <c r="F90" s="1441">
        <v>402</v>
      </c>
      <c r="G90" s="1441"/>
      <c r="H90" s="1441">
        <v>720</v>
      </c>
      <c r="I90" s="1441">
        <v>194</v>
      </c>
      <c r="J90" s="1441">
        <v>1135</v>
      </c>
      <c r="K90" s="1441">
        <v>841</v>
      </c>
      <c r="L90" s="1441">
        <v>827</v>
      </c>
      <c r="M90" s="1441"/>
      <c r="N90" s="1441"/>
      <c r="O90" s="1441">
        <v>4893</v>
      </c>
    </row>
    <row r="91" spans="1:15">
      <c r="A91" t="s">
        <v>7107</v>
      </c>
      <c r="B91" t="s">
        <v>7143</v>
      </c>
      <c r="C91" s="1441"/>
      <c r="D91" s="1441"/>
      <c r="E91" s="1441">
        <v>34</v>
      </c>
      <c r="F91" s="1441"/>
      <c r="G91" s="1441"/>
      <c r="H91" s="1441"/>
      <c r="I91" s="1441"/>
      <c r="J91" s="1441"/>
      <c r="K91" s="1441"/>
      <c r="L91" s="1441"/>
      <c r="M91" s="1441"/>
      <c r="N91" s="1441"/>
      <c r="O91" s="1441">
        <v>34</v>
      </c>
    </row>
    <row r="92" spans="1:15">
      <c r="B92" t="s">
        <v>7152</v>
      </c>
      <c r="C92" s="1441"/>
      <c r="D92" s="1441"/>
      <c r="E92" s="1441"/>
      <c r="F92" s="1441">
        <v>8</v>
      </c>
      <c r="G92" s="1441"/>
      <c r="H92" s="1441"/>
      <c r="I92" s="1441"/>
      <c r="J92" s="1441"/>
      <c r="K92" s="1441"/>
      <c r="L92" s="1441"/>
      <c r="M92" s="1441"/>
      <c r="N92" s="1441"/>
      <c r="O92" s="1441">
        <v>8</v>
      </c>
    </row>
    <row r="93" spans="1:15">
      <c r="B93" t="s">
        <v>7105</v>
      </c>
      <c r="C93" s="1441">
        <v>520</v>
      </c>
      <c r="D93" s="1441"/>
      <c r="E93" s="1441">
        <v>20</v>
      </c>
      <c r="F93" s="1441">
        <v>772</v>
      </c>
      <c r="G93" s="1441"/>
      <c r="H93" s="1441">
        <v>804</v>
      </c>
      <c r="I93" s="1441">
        <v>1683</v>
      </c>
      <c r="J93" s="1441">
        <v>826</v>
      </c>
      <c r="K93" s="1441">
        <v>3380</v>
      </c>
      <c r="L93" s="1441">
        <v>3088</v>
      </c>
      <c r="M93" s="1441">
        <v>1656</v>
      </c>
      <c r="N93" s="1441"/>
      <c r="O93" s="1441">
        <v>12749</v>
      </c>
    </row>
    <row r="94" spans="1:15">
      <c r="A94" t="s">
        <v>7363</v>
      </c>
      <c r="B94" t="s">
        <v>7362</v>
      </c>
      <c r="C94" s="1441"/>
      <c r="D94" s="1441"/>
      <c r="E94" s="1441"/>
      <c r="F94" s="1441"/>
      <c r="G94" s="1441"/>
      <c r="H94" s="1441"/>
      <c r="I94" s="1441">
        <v>192</v>
      </c>
      <c r="J94" s="1441"/>
      <c r="K94" s="1441"/>
      <c r="L94" s="1441"/>
      <c r="M94" s="1441">
        <v>295</v>
      </c>
      <c r="N94" s="1441"/>
      <c r="O94" s="1441">
        <v>487</v>
      </c>
    </row>
    <row r="95" spans="1:15">
      <c r="A95" t="s">
        <v>7371</v>
      </c>
      <c r="B95" t="s">
        <v>7370</v>
      </c>
      <c r="C95" s="1441"/>
      <c r="D95" s="1441"/>
      <c r="E95" s="1441"/>
      <c r="F95" s="1441"/>
      <c r="G95" s="1441"/>
      <c r="H95" s="1441"/>
      <c r="I95" s="1441">
        <v>128</v>
      </c>
      <c r="J95" s="1441"/>
      <c r="K95" s="1441"/>
      <c r="L95" s="1441"/>
      <c r="M95" s="1441">
        <v>194</v>
      </c>
      <c r="N95" s="1441"/>
      <c r="O95" s="1441">
        <v>322</v>
      </c>
    </row>
    <row r="96" spans="1:15">
      <c r="A96" t="s">
        <v>7356</v>
      </c>
      <c r="B96" t="s">
        <v>7355</v>
      </c>
      <c r="C96" s="1441"/>
      <c r="D96" s="1441"/>
      <c r="E96" s="1441"/>
      <c r="F96" s="1441"/>
      <c r="G96" s="1441"/>
      <c r="H96" s="1441"/>
      <c r="I96" s="1441">
        <v>64</v>
      </c>
      <c r="J96" s="1441"/>
      <c r="K96" s="1441"/>
      <c r="L96" s="1441"/>
      <c r="M96" s="1441">
        <v>101</v>
      </c>
      <c r="N96" s="1441"/>
      <c r="O96" s="1441">
        <v>165</v>
      </c>
    </row>
    <row r="97" spans="1:15">
      <c r="A97" t="s">
        <v>7080</v>
      </c>
      <c r="B97" t="s">
        <v>7078</v>
      </c>
      <c r="C97" s="1441"/>
      <c r="D97" s="1441">
        <v>24</v>
      </c>
      <c r="E97" s="1441"/>
      <c r="F97" s="1441">
        <v>10</v>
      </c>
      <c r="G97" s="1441"/>
      <c r="H97" s="1441"/>
      <c r="I97" s="1441">
        <v>72</v>
      </c>
      <c r="J97" s="1441"/>
      <c r="K97" s="1441">
        <v>108</v>
      </c>
      <c r="L97" s="1441"/>
      <c r="M97" s="1441"/>
      <c r="N97" s="1441"/>
      <c r="O97" s="1441">
        <v>214</v>
      </c>
    </row>
    <row r="98" spans="1:15">
      <c r="A98" t="s">
        <v>9366</v>
      </c>
      <c r="C98" s="1441">
        <v>1277</v>
      </c>
      <c r="D98" s="1441">
        <v>892</v>
      </c>
      <c r="E98" s="1441">
        <v>122</v>
      </c>
      <c r="F98" s="1441">
        <v>1604</v>
      </c>
      <c r="G98" s="1441">
        <v>72</v>
      </c>
      <c r="H98" s="1441">
        <v>2200</v>
      </c>
      <c r="I98" s="1441">
        <v>2818</v>
      </c>
      <c r="J98" s="1441">
        <v>3454</v>
      </c>
      <c r="K98" s="1441">
        <v>5349</v>
      </c>
      <c r="L98" s="1441">
        <v>4921</v>
      </c>
      <c r="M98" s="1441">
        <v>2246</v>
      </c>
      <c r="N98" s="1441">
        <v>108</v>
      </c>
      <c r="O98" s="1441">
        <v>25063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9375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29" t="s">
        <v>2493</v>
      </c>
      <c r="B3" s="1230" t="s">
        <v>9376</v>
      </c>
      <c r="C3" s="1230" t="s">
        <v>3</v>
      </c>
      <c r="D3" s="1231" t="s">
        <v>9377</v>
      </c>
      <c r="E3" s="1230" t="s">
        <v>1</v>
      </c>
      <c r="F3" s="1231" t="s">
        <v>9378</v>
      </c>
      <c r="G3" s="1231" t="s">
        <v>10</v>
      </c>
      <c r="H3" s="1231" t="s">
        <v>9379</v>
      </c>
      <c r="I3" s="1231" t="s">
        <v>2496</v>
      </c>
      <c r="J3" s="1230" t="s">
        <v>9177</v>
      </c>
      <c r="K3" s="1229" t="s">
        <v>9380</v>
      </c>
      <c r="L3" s="1232" t="s">
        <v>2498</v>
      </c>
      <c r="M3" s="1233" t="s">
        <v>19</v>
      </c>
      <c r="N3" s="1233" t="s">
        <v>20</v>
      </c>
      <c r="O3" s="1234" t="s">
        <v>21</v>
      </c>
      <c r="P3" s="1235" t="s">
        <v>22</v>
      </c>
      <c r="Q3" s="1236" t="s">
        <v>23</v>
      </c>
      <c r="R3" s="1237" t="s">
        <v>24</v>
      </c>
      <c r="S3" s="1238" t="s">
        <v>9381</v>
      </c>
      <c r="T3" s="1233" t="s">
        <v>9382</v>
      </c>
      <c r="U3" s="1239" t="s">
        <v>18</v>
      </c>
      <c r="V3" s="1239" t="s">
        <v>9383</v>
      </c>
      <c r="W3" s="1233" t="s">
        <v>9384</v>
      </c>
      <c r="X3" s="1240" t="s">
        <v>9385</v>
      </c>
      <c r="Y3" s="1240" t="s">
        <v>9386</v>
      </c>
      <c r="Z3" s="1240" t="s">
        <v>29</v>
      </c>
      <c r="AA3" s="1233" t="s">
        <v>9387</v>
      </c>
      <c r="AB3" s="1239" t="s">
        <v>31</v>
      </c>
      <c r="AC3" s="1238" t="s">
        <v>33</v>
      </c>
      <c r="AD3" s="1241" t="s">
        <v>2500</v>
      </c>
      <c r="AE3" s="1241" t="s">
        <v>35</v>
      </c>
      <c r="AF3" s="1241" t="s">
        <v>36</v>
      </c>
      <c r="AG3" s="1242" t="s">
        <v>37</v>
      </c>
      <c r="AH3" s="1242" t="s">
        <v>38</v>
      </c>
      <c r="AI3" s="1242" t="s">
        <v>39</v>
      </c>
      <c r="AJ3" s="1229" t="s">
        <v>2501</v>
      </c>
      <c r="AK3" s="1243" t="s">
        <v>41</v>
      </c>
      <c r="AL3" s="1230" t="s">
        <v>43</v>
      </c>
      <c r="AM3" s="1229" t="s">
        <v>9388</v>
      </c>
      <c r="AN3" s="1229" t="s">
        <v>2502</v>
      </c>
      <c r="AO3" s="70" t="s">
        <v>46</v>
      </c>
      <c r="AP3" s="71" t="s">
        <v>47</v>
      </c>
      <c r="AQ3" s="72" t="s">
        <v>9389</v>
      </c>
    </row>
    <row r="4" spans="1:43" s="6" customFormat="1" ht="10" hidden="1">
      <c r="A4" s="74" t="s">
        <v>9390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9391</v>
      </c>
      <c r="J4" s="56" t="s">
        <v>170</v>
      </c>
      <c r="K4" s="75">
        <v>552027</v>
      </c>
      <c r="L4" s="56" t="s">
        <v>9392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9393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9394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9391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9395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9396</v>
      </c>
      <c r="B6" s="56" t="s">
        <v>67</v>
      </c>
      <c r="C6" s="56" t="s">
        <v>63</v>
      </c>
      <c r="D6" s="56" t="s">
        <v>9397</v>
      </c>
      <c r="E6" s="56"/>
      <c r="F6" s="56"/>
      <c r="G6" s="39"/>
      <c r="H6" s="56"/>
      <c r="I6" s="56" t="s">
        <v>9391</v>
      </c>
      <c r="J6" s="56" t="s">
        <v>170</v>
      </c>
      <c r="K6" s="75">
        <v>552027</v>
      </c>
      <c r="L6" s="56" t="s">
        <v>9392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9393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9398</v>
      </c>
      <c r="B7" s="56" t="s">
        <v>67</v>
      </c>
      <c r="C7" s="56" t="s">
        <v>63</v>
      </c>
      <c r="D7" s="56" t="s">
        <v>9399</v>
      </c>
      <c r="E7" s="56"/>
      <c r="F7" s="56"/>
      <c r="G7" s="39"/>
      <c r="H7" s="56"/>
      <c r="I7" s="56" t="s">
        <v>9391</v>
      </c>
      <c r="J7" s="56" t="s">
        <v>170</v>
      </c>
      <c r="K7" s="75">
        <v>552027</v>
      </c>
      <c r="L7" s="56" t="s">
        <v>9392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9393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9400</v>
      </c>
      <c r="B8" s="56" t="s">
        <v>67</v>
      </c>
      <c r="C8" s="56" t="s">
        <v>63</v>
      </c>
      <c r="D8" s="56" t="s">
        <v>9399</v>
      </c>
      <c r="E8" s="56"/>
      <c r="F8" s="56"/>
      <c r="G8" s="39"/>
      <c r="H8" s="56"/>
      <c r="I8" s="56" t="s">
        <v>9391</v>
      </c>
      <c r="J8" s="56" t="s">
        <v>170</v>
      </c>
      <c r="K8" s="75">
        <v>552027</v>
      </c>
      <c r="L8" s="56" t="s">
        <v>9392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9393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9401</v>
      </c>
      <c r="B9" s="56" t="s">
        <v>67</v>
      </c>
      <c r="C9" s="56" t="s">
        <v>63</v>
      </c>
      <c r="D9" s="56" t="s">
        <v>9397</v>
      </c>
      <c r="E9" s="56"/>
      <c r="F9" s="56"/>
      <c r="G9" s="39"/>
      <c r="H9" s="56"/>
      <c r="I9" s="56" t="s">
        <v>9391</v>
      </c>
      <c r="J9" s="56" t="s">
        <v>170</v>
      </c>
      <c r="K9" s="75">
        <v>552027</v>
      </c>
      <c r="L9" s="56" t="s">
        <v>9392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9393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9402</v>
      </c>
      <c r="B10" s="56" t="s">
        <v>67</v>
      </c>
      <c r="C10" s="56" t="s">
        <v>63</v>
      </c>
      <c r="D10" s="56" t="s">
        <v>9397</v>
      </c>
      <c r="E10" s="56"/>
      <c r="F10" s="56"/>
      <c r="G10" s="39"/>
      <c r="H10" s="56"/>
      <c r="I10" s="56" t="s">
        <v>9391</v>
      </c>
      <c r="J10" s="56" t="s">
        <v>550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2521</v>
      </c>
      <c r="U10" s="56" t="s">
        <v>2521</v>
      </c>
      <c r="V10" s="56"/>
      <c r="W10" s="39" t="s">
        <v>9403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9404</v>
      </c>
      <c r="AL10" s="39" t="s">
        <v>9405</v>
      </c>
      <c r="AM10" s="39" t="s">
        <v>9406</v>
      </c>
      <c r="AN10" s="39" t="s">
        <v>9407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9408</v>
      </c>
      <c r="B11" s="56" t="s">
        <v>67</v>
      </c>
      <c r="C11" s="56" t="s">
        <v>63</v>
      </c>
      <c r="D11" s="56" t="s">
        <v>9397</v>
      </c>
      <c r="E11" s="56"/>
      <c r="F11" s="56"/>
      <c r="G11" s="39"/>
      <c r="H11" s="56"/>
      <c r="I11" s="56" t="s">
        <v>9391</v>
      </c>
      <c r="J11" s="56" t="s">
        <v>550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2521</v>
      </c>
      <c r="U11" s="56" t="s">
        <v>2521</v>
      </c>
      <c r="V11" s="56"/>
      <c r="W11" s="39" t="s">
        <v>9403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9404</v>
      </c>
      <c r="AL11" s="39" t="s">
        <v>9405</v>
      </c>
      <c r="AM11" s="39" t="s">
        <v>9406</v>
      </c>
      <c r="AN11" s="39" t="s">
        <v>9407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9409</v>
      </c>
      <c r="B12" s="56" t="s">
        <v>67</v>
      </c>
      <c r="C12" s="56" t="s">
        <v>63</v>
      </c>
      <c r="D12" s="56" t="s">
        <v>9397</v>
      </c>
      <c r="E12" s="56"/>
      <c r="F12" s="56"/>
      <c r="G12" s="39"/>
      <c r="H12" s="56"/>
      <c r="I12" s="56" t="s">
        <v>9391</v>
      </c>
      <c r="J12" s="56" t="s">
        <v>550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2521</v>
      </c>
      <c r="U12" s="56" t="s">
        <v>2521</v>
      </c>
      <c r="V12" s="56"/>
      <c r="W12" s="39" t="s">
        <v>9403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9404</v>
      </c>
      <c r="AL12" s="39" t="s">
        <v>9405</v>
      </c>
      <c r="AM12" s="39" t="s">
        <v>9406</v>
      </c>
      <c r="AN12" s="39" t="s">
        <v>9407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9410</v>
      </c>
      <c r="B13" s="56" t="s">
        <v>67</v>
      </c>
      <c r="C13" s="56" t="s">
        <v>63</v>
      </c>
      <c r="D13" s="56" t="s">
        <v>9397</v>
      </c>
      <c r="E13" s="56"/>
      <c r="F13" s="56"/>
      <c r="G13" s="39"/>
      <c r="H13" s="56"/>
      <c r="I13" s="56" t="s">
        <v>9391</v>
      </c>
      <c r="J13" s="56" t="s">
        <v>550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2521</v>
      </c>
      <c r="U13" s="56" t="s">
        <v>2521</v>
      </c>
      <c r="V13" s="56"/>
      <c r="W13" s="39" t="s">
        <v>9403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9404</v>
      </c>
      <c r="AL13" s="39" t="s">
        <v>9405</v>
      </c>
      <c r="AM13" s="39" t="s">
        <v>9406</v>
      </c>
      <c r="AN13" s="39" t="s">
        <v>9407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9411</v>
      </c>
      <c r="B14" s="56" t="s">
        <v>67</v>
      </c>
      <c r="C14" s="56" t="s">
        <v>63</v>
      </c>
      <c r="D14" s="56" t="s">
        <v>9397</v>
      </c>
      <c r="E14" s="56"/>
      <c r="F14" s="56"/>
      <c r="G14" s="39"/>
      <c r="H14" s="56"/>
      <c r="I14" s="56" t="s">
        <v>9391</v>
      </c>
      <c r="J14" s="56" t="s">
        <v>550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2521</v>
      </c>
      <c r="U14" s="56" t="s">
        <v>2521</v>
      </c>
      <c r="V14" s="56"/>
      <c r="W14" s="39" t="s">
        <v>9403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9404</v>
      </c>
      <c r="AL14" s="39" t="s">
        <v>9405</v>
      </c>
      <c r="AM14" s="39" t="s">
        <v>9406</v>
      </c>
      <c r="AN14" s="39" t="s">
        <v>9407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9412</v>
      </c>
      <c r="B15" s="56" t="s">
        <v>67</v>
      </c>
      <c r="C15" s="56" t="s">
        <v>63</v>
      </c>
      <c r="D15" s="56" t="s">
        <v>9399</v>
      </c>
      <c r="E15" s="56"/>
      <c r="F15" s="56"/>
      <c r="G15" s="39"/>
      <c r="H15" s="56"/>
      <c r="I15" s="56" t="s">
        <v>9391</v>
      </c>
      <c r="J15" s="56" t="s">
        <v>9413</v>
      </c>
      <c r="K15" s="75">
        <v>547867</v>
      </c>
      <c r="L15" s="56" t="s">
        <v>9414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2521</v>
      </c>
      <c r="U15" s="56" t="s">
        <v>2521</v>
      </c>
      <c r="V15" s="56"/>
      <c r="W15" s="39" t="s">
        <v>9415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9416</v>
      </c>
      <c r="AL15" s="39" t="s">
        <v>9417</v>
      </c>
      <c r="AM15" s="39" t="s">
        <v>9418</v>
      </c>
      <c r="AN15" s="39" t="s">
        <v>9419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9420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9391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2521</v>
      </c>
      <c r="U16" s="56" t="s">
        <v>2521</v>
      </c>
      <c r="V16" s="56"/>
      <c r="W16" s="39" t="s">
        <v>9421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9422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9423</v>
      </c>
      <c r="AL16" s="39" t="s">
        <v>9424</v>
      </c>
      <c r="AM16" s="39">
        <v>1063823207</v>
      </c>
      <c r="AN16" s="39" t="s">
        <v>9425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9426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9391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2521</v>
      </c>
      <c r="U17" s="56" t="s">
        <v>2521</v>
      </c>
      <c r="V17" s="56"/>
      <c r="W17" s="39" t="s">
        <v>9421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9427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9428</v>
      </c>
      <c r="AL17" s="39" t="s">
        <v>9429</v>
      </c>
      <c r="AM17" s="39">
        <v>1064000730</v>
      </c>
      <c r="AN17" s="39" t="s">
        <v>9430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9431</v>
      </c>
      <c r="B18" s="56" t="s">
        <v>67</v>
      </c>
      <c r="C18" s="56" t="s">
        <v>63</v>
      </c>
      <c r="D18" s="56" t="s">
        <v>9397</v>
      </c>
      <c r="E18" s="56"/>
      <c r="F18" s="56"/>
      <c r="G18" s="39"/>
      <c r="H18" s="56"/>
      <c r="I18" s="56" t="s">
        <v>9391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2521</v>
      </c>
      <c r="U18" s="56" t="s">
        <v>2521</v>
      </c>
      <c r="V18" s="56"/>
      <c r="W18" s="39" t="s">
        <v>9432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9433</v>
      </c>
      <c r="AL18" s="39" t="s">
        <v>9434</v>
      </c>
      <c r="AM18" s="39" t="s">
        <v>9435</v>
      </c>
      <c r="AN18" s="39" t="s">
        <v>9436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9437</v>
      </c>
      <c r="B19" s="56" t="s">
        <v>67</v>
      </c>
      <c r="C19" s="56" t="s">
        <v>63</v>
      </c>
      <c r="D19" s="56" t="s">
        <v>9397</v>
      </c>
      <c r="E19" s="56"/>
      <c r="F19" s="56"/>
      <c r="G19" s="39"/>
      <c r="H19" s="56"/>
      <c r="I19" s="56" t="s">
        <v>9391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2521</v>
      </c>
      <c r="U19" s="56" t="s">
        <v>2521</v>
      </c>
      <c r="V19" s="56"/>
      <c r="W19" s="39" t="s">
        <v>9438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9433</v>
      </c>
      <c r="AL19" s="39" t="s">
        <v>9434</v>
      </c>
      <c r="AM19" s="39" t="s">
        <v>9435</v>
      </c>
      <c r="AN19" s="39" t="s">
        <v>9436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9439</v>
      </c>
      <c r="B20" s="56" t="s">
        <v>67</v>
      </c>
      <c r="C20" s="56" t="s">
        <v>63</v>
      </c>
      <c r="D20" s="56" t="s">
        <v>9397</v>
      </c>
      <c r="E20" s="56"/>
      <c r="F20" s="56"/>
      <c r="G20" s="39"/>
      <c r="H20" s="56"/>
      <c r="I20" s="56" t="s">
        <v>9391</v>
      </c>
      <c r="J20" s="56" t="s">
        <v>550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2521</v>
      </c>
      <c r="U20" s="56" t="s">
        <v>2521</v>
      </c>
      <c r="V20" s="56"/>
      <c r="W20" s="39" t="s">
        <v>9438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9433</v>
      </c>
      <c r="AL20" s="39" t="s">
        <v>9440</v>
      </c>
      <c r="AM20" s="39" t="s">
        <v>9441</v>
      </c>
      <c r="AN20" s="39" t="s">
        <v>9442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9443</v>
      </c>
      <c r="B21" s="56" t="s">
        <v>67</v>
      </c>
      <c r="C21" s="56" t="s">
        <v>63</v>
      </c>
      <c r="D21" s="56" t="s">
        <v>9399</v>
      </c>
      <c r="E21" s="56"/>
      <c r="F21" s="56"/>
      <c r="G21" s="39"/>
      <c r="H21" s="56"/>
      <c r="I21" s="56" t="s">
        <v>9391</v>
      </c>
      <c r="J21" s="56" t="s">
        <v>170</v>
      </c>
      <c r="K21" s="75">
        <v>552028</v>
      </c>
      <c r="L21" s="56" t="s">
        <v>9444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2521</v>
      </c>
      <c r="U21" s="56" t="s">
        <v>2521</v>
      </c>
      <c r="V21" s="56"/>
      <c r="W21" s="39" t="s">
        <v>9445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9433</v>
      </c>
      <c r="AL21" s="39" t="s">
        <v>9440</v>
      </c>
      <c r="AM21" s="39" t="s">
        <v>9441</v>
      </c>
      <c r="AN21" s="39" t="s">
        <v>9442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9446</v>
      </c>
      <c r="B22" s="56" t="s">
        <v>67</v>
      </c>
      <c r="C22" s="56" t="s">
        <v>63</v>
      </c>
      <c r="D22" s="56" t="s">
        <v>9399</v>
      </c>
      <c r="E22" s="56"/>
      <c r="F22" s="56"/>
      <c r="G22" s="39"/>
      <c r="H22" s="56"/>
      <c r="I22" s="56" t="s">
        <v>9391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2521</v>
      </c>
      <c r="U22" s="56" t="s">
        <v>2521</v>
      </c>
      <c r="V22" s="56"/>
      <c r="W22" s="39" t="s">
        <v>9447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9433</v>
      </c>
      <c r="AL22" s="39" t="s">
        <v>9440</v>
      </c>
      <c r="AM22" s="39" t="s">
        <v>9441</v>
      </c>
      <c r="AN22" s="39" t="s">
        <v>9442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9448</v>
      </c>
      <c r="B23" s="56" t="s">
        <v>67</v>
      </c>
      <c r="C23" s="56" t="s">
        <v>63</v>
      </c>
      <c r="D23" s="56" t="s">
        <v>9399</v>
      </c>
      <c r="E23" s="56"/>
      <c r="F23" s="56"/>
      <c r="G23" s="39"/>
      <c r="H23" s="56"/>
      <c r="I23" s="56" t="s">
        <v>9391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2521</v>
      </c>
      <c r="U23" s="56" t="s">
        <v>2521</v>
      </c>
      <c r="V23" s="56"/>
      <c r="W23" s="39" t="s">
        <v>9445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9433</v>
      </c>
      <c r="AL23" s="39" t="s">
        <v>9440</v>
      </c>
      <c r="AM23" s="39" t="s">
        <v>9441</v>
      </c>
      <c r="AN23" s="39" t="s">
        <v>9442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9449</v>
      </c>
      <c r="B24" s="56" t="s">
        <v>67</v>
      </c>
      <c r="C24" s="56" t="s">
        <v>63</v>
      </c>
      <c r="D24" s="56" t="s">
        <v>9397</v>
      </c>
      <c r="E24" s="56"/>
      <c r="F24" s="56"/>
      <c r="G24" s="39"/>
      <c r="H24" s="56"/>
      <c r="I24" s="56" t="s">
        <v>9391</v>
      </c>
      <c r="J24" s="56" t="s">
        <v>550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2521</v>
      </c>
      <c r="U24" s="56" t="s">
        <v>2521</v>
      </c>
      <c r="V24" s="56"/>
      <c r="W24" s="39" t="s">
        <v>9438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9450</v>
      </c>
      <c r="AL24" s="39" t="s">
        <v>9451</v>
      </c>
      <c r="AM24" s="39" t="s">
        <v>9452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9453</v>
      </c>
      <c r="B25" s="56" t="s">
        <v>67</v>
      </c>
      <c r="C25" s="56" t="s">
        <v>63</v>
      </c>
      <c r="D25" s="56" t="s">
        <v>9399</v>
      </c>
      <c r="E25" s="56"/>
      <c r="F25" s="56"/>
      <c r="G25" s="39"/>
      <c r="H25" s="56"/>
      <c r="I25" s="56" t="s">
        <v>9391</v>
      </c>
      <c r="J25" s="56" t="s">
        <v>170</v>
      </c>
      <c r="K25" s="75">
        <v>552027</v>
      </c>
      <c r="L25" s="56" t="s">
        <v>9392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2521</v>
      </c>
      <c r="U25" s="56" t="s">
        <v>2521</v>
      </c>
      <c r="V25" s="56"/>
      <c r="W25" s="39" t="s">
        <v>9445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9450</v>
      </c>
      <c r="AL25" s="39" t="s">
        <v>9451</v>
      </c>
      <c r="AM25" s="39" t="s">
        <v>9452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9454</v>
      </c>
      <c r="B26" s="56" t="s">
        <v>67</v>
      </c>
      <c r="C26" s="56" t="s">
        <v>63</v>
      </c>
      <c r="D26" s="56" t="s">
        <v>9399</v>
      </c>
      <c r="E26" s="56"/>
      <c r="F26" s="56"/>
      <c r="G26" s="39"/>
      <c r="H26" s="56"/>
      <c r="I26" s="56" t="s">
        <v>9391</v>
      </c>
      <c r="J26" s="56" t="s">
        <v>170</v>
      </c>
      <c r="K26" s="75">
        <v>552027</v>
      </c>
      <c r="L26" s="56" t="s">
        <v>9392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2521</v>
      </c>
      <c r="U26" s="56" t="s">
        <v>2521</v>
      </c>
      <c r="V26" s="56"/>
      <c r="W26" s="39" t="s">
        <v>9445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9455</v>
      </c>
      <c r="AL26" s="39" t="s">
        <v>9456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9457</v>
      </c>
      <c r="B27" s="56" t="s">
        <v>67</v>
      </c>
      <c r="C27" s="56" t="s">
        <v>63</v>
      </c>
      <c r="D27" s="56" t="s">
        <v>9397</v>
      </c>
      <c r="E27" s="56"/>
      <c r="F27" s="56"/>
      <c r="G27" s="39"/>
      <c r="H27" s="56"/>
      <c r="I27" s="56" t="s">
        <v>9391</v>
      </c>
      <c r="J27" s="56" t="s">
        <v>550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2521</v>
      </c>
      <c r="U27" s="56" t="s">
        <v>2521</v>
      </c>
      <c r="V27" s="56"/>
      <c r="W27" s="39" t="s">
        <v>9438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9458</v>
      </c>
      <c r="AL27" s="39" t="s">
        <v>9459</v>
      </c>
      <c r="AM27" s="39" t="s">
        <v>9460</v>
      </c>
      <c r="AN27" s="39" t="s">
        <v>9461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9462</v>
      </c>
      <c r="B28" s="56" t="s">
        <v>67</v>
      </c>
      <c r="C28" s="56" t="s">
        <v>63</v>
      </c>
      <c r="D28" s="56" t="s">
        <v>9397</v>
      </c>
      <c r="E28" s="56"/>
      <c r="F28" s="56"/>
      <c r="G28" s="39"/>
      <c r="H28" s="56"/>
      <c r="I28" s="56" t="s">
        <v>9391</v>
      </c>
      <c r="J28" s="56" t="s">
        <v>550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2521</v>
      </c>
      <c r="U28" s="56" t="s">
        <v>2521</v>
      </c>
      <c r="V28" s="56"/>
      <c r="W28" s="39" t="s">
        <v>9432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9458</v>
      </c>
      <c r="AL28" s="39" t="s">
        <v>9463</v>
      </c>
      <c r="AM28" s="39" t="s">
        <v>9464</v>
      </c>
      <c r="AN28" s="39" t="s">
        <v>9465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9466</v>
      </c>
      <c r="B29" s="56" t="s">
        <v>67</v>
      </c>
      <c r="C29" s="56" t="s">
        <v>63</v>
      </c>
      <c r="D29" s="56" t="s">
        <v>9399</v>
      </c>
      <c r="E29" s="56"/>
      <c r="F29" s="56"/>
      <c r="G29" s="39"/>
      <c r="H29" s="56"/>
      <c r="I29" s="56" t="s">
        <v>9391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2521</v>
      </c>
      <c r="U29" s="56" t="s">
        <v>2521</v>
      </c>
      <c r="V29" s="56"/>
      <c r="W29" s="39" t="s">
        <v>9445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9458</v>
      </c>
      <c r="AL29" s="39" t="s">
        <v>9463</v>
      </c>
      <c r="AM29" s="39" t="s">
        <v>9464</v>
      </c>
      <c r="AN29" s="39" t="s">
        <v>9465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9467</v>
      </c>
      <c r="B30" s="56" t="s">
        <v>67</v>
      </c>
      <c r="C30" s="56" t="s">
        <v>63</v>
      </c>
      <c r="D30" s="56" t="s">
        <v>146</v>
      </c>
      <c r="E30" s="56"/>
      <c r="F30" s="56" t="s">
        <v>2529</v>
      </c>
      <c r="G30" s="39"/>
      <c r="H30" s="56"/>
      <c r="I30" s="82" t="s">
        <v>9391</v>
      </c>
      <c r="J30" s="56" t="s">
        <v>170</v>
      </c>
      <c r="K30" s="75">
        <v>552027</v>
      </c>
      <c r="L30" s="56" t="s">
        <v>9392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2521</v>
      </c>
      <c r="U30" s="56" t="s">
        <v>2521</v>
      </c>
      <c r="V30" s="56"/>
      <c r="W30" s="39" t="s">
        <v>9445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9468</v>
      </c>
      <c r="AL30" s="39" t="s">
        <v>9469</v>
      </c>
      <c r="AM30" s="39" t="s">
        <v>9470</v>
      </c>
      <c r="AN30" s="39" t="s">
        <v>9470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9471</v>
      </c>
      <c r="B31" s="56" t="s">
        <v>67</v>
      </c>
      <c r="C31" s="56" t="s">
        <v>63</v>
      </c>
      <c r="D31" s="56" t="s">
        <v>9397</v>
      </c>
      <c r="E31" s="56"/>
      <c r="F31" s="56"/>
      <c r="G31" s="39"/>
      <c r="H31" s="56"/>
      <c r="I31" s="56" t="s">
        <v>9391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2521</v>
      </c>
      <c r="U31" s="56" t="s">
        <v>2521</v>
      </c>
      <c r="V31" s="56"/>
      <c r="W31" s="39" t="s">
        <v>9438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9472</v>
      </c>
      <c r="AL31" s="39" t="s">
        <v>9473</v>
      </c>
      <c r="AM31" s="39" t="s">
        <v>9474</v>
      </c>
      <c r="AN31" s="39" t="s">
        <v>9475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9476</v>
      </c>
      <c r="B32" s="56" t="s">
        <v>67</v>
      </c>
      <c r="C32" s="56" t="s">
        <v>63</v>
      </c>
      <c r="D32" s="56" t="s">
        <v>9397</v>
      </c>
      <c r="E32" s="56"/>
      <c r="F32" s="56"/>
      <c r="G32" s="39"/>
      <c r="H32" s="56"/>
      <c r="I32" s="56" t="s">
        <v>9391</v>
      </c>
      <c r="J32" s="56" t="s">
        <v>550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2521</v>
      </c>
      <c r="U32" s="56" t="s">
        <v>2521</v>
      </c>
      <c r="V32" s="56"/>
      <c r="W32" s="39" t="s">
        <v>9432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9477</v>
      </c>
      <c r="AL32" s="39" t="s">
        <v>9478</v>
      </c>
      <c r="AM32" s="39" t="s">
        <v>9479</v>
      </c>
      <c r="AN32" s="39" t="s">
        <v>9479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9397</v>
      </c>
      <c r="E33" s="56"/>
      <c r="F33" s="56"/>
      <c r="G33" s="39"/>
      <c r="H33" s="56"/>
      <c r="I33" s="56" t="s">
        <v>9391</v>
      </c>
      <c r="J33" s="56" t="s">
        <v>473</v>
      </c>
      <c r="K33" s="75">
        <v>553145</v>
      </c>
      <c r="L33" s="56" t="s">
        <v>9480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2521</v>
      </c>
      <c r="U33" s="56" t="s">
        <v>2521</v>
      </c>
      <c r="V33" s="56"/>
      <c r="W33" s="39" t="s">
        <v>9481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9477</v>
      </c>
      <c r="AL33" s="39" t="s">
        <v>9478</v>
      </c>
      <c r="AM33" s="39" t="s">
        <v>9479</v>
      </c>
      <c r="AN33" s="39" t="s">
        <v>9479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9482</v>
      </c>
      <c r="B34" s="56" t="s">
        <v>67</v>
      </c>
      <c r="C34" s="56" t="s">
        <v>63</v>
      </c>
      <c r="D34" s="56" t="s">
        <v>9397</v>
      </c>
      <c r="E34" s="56"/>
      <c r="F34" s="56"/>
      <c r="G34" s="39"/>
      <c r="H34" s="56"/>
      <c r="I34" s="56" t="s">
        <v>9391</v>
      </c>
      <c r="J34" s="56" t="s">
        <v>550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2521</v>
      </c>
      <c r="U34" s="56" t="s">
        <v>2521</v>
      </c>
      <c r="V34" s="56"/>
      <c r="W34" s="39" t="s">
        <v>9438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9483</v>
      </c>
      <c r="AL34" s="39" t="s">
        <v>9484</v>
      </c>
      <c r="AM34" s="39" t="s">
        <v>9485</v>
      </c>
      <c r="AN34" s="39" t="s">
        <v>9486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9487</v>
      </c>
      <c r="B35" s="56" t="s">
        <v>67</v>
      </c>
      <c r="C35" s="56" t="s">
        <v>63</v>
      </c>
      <c r="D35" s="56" t="s">
        <v>9397</v>
      </c>
      <c r="E35" s="56"/>
      <c r="F35" s="56"/>
      <c r="G35" s="39"/>
      <c r="H35" s="56"/>
      <c r="I35" s="56" t="s">
        <v>9391</v>
      </c>
      <c r="J35" s="56" t="s">
        <v>550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2521</v>
      </c>
      <c r="U35" s="56" t="s">
        <v>2521</v>
      </c>
      <c r="V35" s="56"/>
      <c r="W35" s="39" t="s">
        <v>9432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9483</v>
      </c>
      <c r="AL35" s="39" t="s">
        <v>9484</v>
      </c>
      <c r="AM35" s="39" t="s">
        <v>9485</v>
      </c>
      <c r="AN35" s="39" t="s">
        <v>9486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9397</v>
      </c>
      <c r="E36" s="56"/>
      <c r="F36" s="56"/>
      <c r="G36" s="39"/>
      <c r="H36" s="56"/>
      <c r="I36" s="56" t="s">
        <v>9391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2521</v>
      </c>
      <c r="U36" s="56" t="s">
        <v>2521</v>
      </c>
      <c r="V36" s="56"/>
      <c r="W36" s="39" t="s">
        <v>9481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9488</v>
      </c>
      <c r="AL36" s="39" t="s">
        <v>9489</v>
      </c>
      <c r="AM36" s="39" t="s">
        <v>9490</v>
      </c>
      <c r="AN36" s="39" t="s">
        <v>9490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9397</v>
      </c>
      <c r="E37" s="56"/>
      <c r="F37" s="56"/>
      <c r="G37" s="39"/>
      <c r="H37" s="56"/>
      <c r="I37" s="56" t="s">
        <v>9391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2521</v>
      </c>
      <c r="U37" s="56" t="s">
        <v>2521</v>
      </c>
      <c r="V37" s="56"/>
      <c r="W37" s="39" t="s">
        <v>9481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9488</v>
      </c>
      <c r="AL37" s="39" t="s">
        <v>9489</v>
      </c>
      <c r="AM37" s="39" t="s">
        <v>9490</v>
      </c>
      <c r="AN37" s="39" t="s">
        <v>9490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9491</v>
      </c>
      <c r="B38" s="56" t="s">
        <v>67</v>
      </c>
      <c r="C38" s="56" t="s">
        <v>63</v>
      </c>
      <c r="D38" s="56" t="s">
        <v>9397</v>
      </c>
      <c r="E38" s="56"/>
      <c r="F38" s="56"/>
      <c r="G38" s="39"/>
      <c r="H38" s="56"/>
      <c r="I38" s="56" t="s">
        <v>9391</v>
      </c>
      <c r="J38" s="56" t="s">
        <v>550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2521</v>
      </c>
      <c r="U38" s="56" t="s">
        <v>2521</v>
      </c>
      <c r="V38" s="56"/>
      <c r="W38" s="39" t="s">
        <v>9432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9492</v>
      </c>
      <c r="AL38" s="39" t="s">
        <v>9493</v>
      </c>
      <c r="AM38" s="39" t="s">
        <v>9494</v>
      </c>
      <c r="AN38" s="39" t="s">
        <v>9494</v>
      </c>
      <c r="AO38" s="75">
        <f t="shared" si="2"/>
        <v>66</v>
      </c>
      <c r="AP38" s="39" t="s">
        <v>9495</v>
      </c>
      <c r="AQ38" s="75" t="s">
        <v>2534</v>
      </c>
    </row>
    <row r="39" spans="1:43" s="6" customFormat="1" ht="10" hidden="1">
      <c r="A39" s="74" t="s">
        <v>9496</v>
      </c>
      <c r="B39" s="56" t="s">
        <v>67</v>
      </c>
      <c r="C39" s="56" t="s">
        <v>63</v>
      </c>
      <c r="D39" s="56" t="s">
        <v>9397</v>
      </c>
      <c r="E39" s="56"/>
      <c r="F39" s="56"/>
      <c r="G39" s="39"/>
      <c r="H39" s="56"/>
      <c r="I39" s="56" t="s">
        <v>9391</v>
      </c>
      <c r="J39" s="56" t="s">
        <v>550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2521</v>
      </c>
      <c r="U39" s="56" t="s">
        <v>2521</v>
      </c>
      <c r="V39" s="56"/>
      <c r="W39" s="39" t="s">
        <v>9432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9492</v>
      </c>
      <c r="AL39" s="39" t="s">
        <v>9497</v>
      </c>
      <c r="AM39" s="39" t="s">
        <v>9498</v>
      </c>
      <c r="AN39" s="39" t="s">
        <v>9498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9499</v>
      </c>
      <c r="B40" s="56" t="s">
        <v>67</v>
      </c>
      <c r="C40" s="56" t="s">
        <v>63</v>
      </c>
      <c r="D40" s="56" t="s">
        <v>9397</v>
      </c>
      <c r="E40" s="56"/>
      <c r="F40" s="56"/>
      <c r="G40" s="39"/>
      <c r="H40" s="56"/>
      <c r="I40" s="56" t="s">
        <v>9391</v>
      </c>
      <c r="J40" s="56" t="s">
        <v>550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2521</v>
      </c>
      <c r="U40" s="56" t="s">
        <v>2521</v>
      </c>
      <c r="V40" s="56"/>
      <c r="W40" s="39" t="s">
        <v>9432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9492</v>
      </c>
      <c r="AL40" s="39" t="s">
        <v>9500</v>
      </c>
      <c r="AM40" s="39" t="s">
        <v>9501</v>
      </c>
      <c r="AN40" s="39" t="s">
        <v>9501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9502</v>
      </c>
      <c r="B41" s="56" t="s">
        <v>67</v>
      </c>
      <c r="C41" s="56" t="s">
        <v>63</v>
      </c>
      <c r="D41" s="56" t="s">
        <v>9397</v>
      </c>
      <c r="E41" s="56"/>
      <c r="F41" s="56"/>
      <c r="G41" s="39"/>
      <c r="H41" s="56"/>
      <c r="I41" s="56" t="s">
        <v>9391</v>
      </c>
      <c r="J41" s="56" t="s">
        <v>550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2521</v>
      </c>
      <c r="U41" s="56" t="s">
        <v>2521</v>
      </c>
      <c r="V41" s="56"/>
      <c r="W41" s="39" t="s">
        <v>9432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9492</v>
      </c>
      <c r="AL41" s="39" t="s">
        <v>9503</v>
      </c>
      <c r="AM41" s="39" t="s">
        <v>9504</v>
      </c>
      <c r="AN41" s="39" t="s">
        <v>9504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9397</v>
      </c>
      <c r="E42" s="56"/>
      <c r="F42" s="56"/>
      <c r="G42" s="39"/>
      <c r="H42" s="56"/>
      <c r="I42" s="56" t="s">
        <v>9391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2521</v>
      </c>
      <c r="U42" s="56" t="s">
        <v>2521</v>
      </c>
      <c r="V42" s="56"/>
      <c r="W42" s="39" t="s">
        <v>9481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9492</v>
      </c>
      <c r="AL42" s="39" t="s">
        <v>9503</v>
      </c>
      <c r="AM42" s="39" t="s">
        <v>9504</v>
      </c>
      <c r="AN42" s="39" t="s">
        <v>9504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9397</v>
      </c>
      <c r="E43" s="56"/>
      <c r="F43" s="56"/>
      <c r="G43" s="39"/>
      <c r="H43" s="56"/>
      <c r="I43" s="56" t="s">
        <v>9391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2521</v>
      </c>
      <c r="U43" s="56" t="s">
        <v>2521</v>
      </c>
      <c r="V43" s="56"/>
      <c r="W43" s="36" t="s">
        <v>9481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9505</v>
      </c>
      <c r="AL43" s="39" t="s">
        <v>9506</v>
      </c>
      <c r="AM43" s="39" t="s">
        <v>9507</v>
      </c>
      <c r="AN43" s="39" t="s">
        <v>9508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9397</v>
      </c>
      <c r="E44" s="56"/>
      <c r="F44" s="56"/>
      <c r="G44" s="39"/>
      <c r="H44" s="56"/>
      <c r="I44" s="56" t="s">
        <v>9391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2521</v>
      </c>
      <c r="U44" s="56" t="s">
        <v>2521</v>
      </c>
      <c r="V44" s="56"/>
      <c r="W44" s="39" t="s">
        <v>9481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9509</v>
      </c>
      <c r="AL44" s="39" t="s">
        <v>9510</v>
      </c>
      <c r="AM44" s="39" t="s">
        <v>9511</v>
      </c>
      <c r="AN44" s="39" t="s">
        <v>9511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9397</v>
      </c>
      <c r="E45" s="56"/>
      <c r="F45" s="56"/>
      <c r="G45" s="39"/>
      <c r="H45" s="56"/>
      <c r="I45" s="56" t="s">
        <v>9391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2521</v>
      </c>
      <c r="U45" s="56" t="s">
        <v>2521</v>
      </c>
      <c r="V45" s="56"/>
      <c r="W45" s="39" t="s">
        <v>9481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9512</v>
      </c>
      <c r="AL45" s="39" t="s">
        <v>9513</v>
      </c>
      <c r="AM45" s="39" t="s">
        <v>9514</v>
      </c>
      <c r="AN45" s="39" t="s">
        <v>9515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9397</v>
      </c>
      <c r="E46" s="56"/>
      <c r="F46" s="56"/>
      <c r="G46" s="39"/>
      <c r="H46" s="56"/>
      <c r="I46" s="56" t="s">
        <v>9391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2521</v>
      </c>
      <c r="U46" s="56" t="s">
        <v>2521</v>
      </c>
      <c r="V46" s="56"/>
      <c r="W46" s="39" t="s">
        <v>9481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9516</v>
      </c>
      <c r="AL46" s="39" t="s">
        <v>9517</v>
      </c>
      <c r="AM46" s="39" t="s">
        <v>9518</v>
      </c>
      <c r="AN46" s="39" t="s">
        <v>9519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9397</v>
      </c>
      <c r="E47" s="56"/>
      <c r="F47" s="56"/>
      <c r="G47" s="39"/>
      <c r="H47" s="56"/>
      <c r="I47" s="56" t="s">
        <v>9391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2521</v>
      </c>
      <c r="U47" s="56" t="s">
        <v>2521</v>
      </c>
      <c r="V47" s="56"/>
      <c r="W47" s="39" t="s">
        <v>9481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9520</v>
      </c>
      <c r="AL47" s="39" t="s">
        <v>9521</v>
      </c>
      <c r="AM47" s="39" t="s">
        <v>9522</v>
      </c>
      <c r="AN47" s="39" t="s">
        <v>9523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9524</v>
      </c>
      <c r="B48" s="56" t="s">
        <v>67</v>
      </c>
      <c r="C48" s="56" t="s">
        <v>63</v>
      </c>
      <c r="D48" s="56" t="s">
        <v>9397</v>
      </c>
      <c r="E48" s="56"/>
      <c r="F48" s="56"/>
      <c r="G48" s="39"/>
      <c r="H48" s="56"/>
      <c r="I48" s="56" t="s">
        <v>9391</v>
      </c>
      <c r="J48" s="56" t="s">
        <v>550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2521</v>
      </c>
      <c r="U48" s="56" t="s">
        <v>2521</v>
      </c>
      <c r="V48" s="56"/>
      <c r="W48" s="39" t="s">
        <v>9432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9525</v>
      </c>
      <c r="AL48" s="39" t="s">
        <v>9526</v>
      </c>
      <c r="AM48" s="39" t="s">
        <v>9527</v>
      </c>
      <c r="AN48" s="39" t="s">
        <v>9528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9397</v>
      </c>
      <c r="E49" s="56"/>
      <c r="F49" s="56"/>
      <c r="G49" s="39"/>
      <c r="H49" s="56"/>
      <c r="I49" s="56" t="s">
        <v>9391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2521</v>
      </c>
      <c r="U49" s="56" t="s">
        <v>2521</v>
      </c>
      <c r="V49" s="56"/>
      <c r="W49" s="18" t="s">
        <v>9481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9525</v>
      </c>
      <c r="AL49" s="39" t="s">
        <v>9529</v>
      </c>
      <c r="AM49" s="39" t="s">
        <v>9530</v>
      </c>
      <c r="AN49" s="39" t="s">
        <v>9531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9397</v>
      </c>
      <c r="E50" s="56"/>
      <c r="F50" s="56"/>
      <c r="G50" s="39"/>
      <c r="H50" s="56"/>
      <c r="I50" s="56" t="s">
        <v>9391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2521</v>
      </c>
      <c r="U50" s="56" t="s">
        <v>2521</v>
      </c>
      <c r="V50" s="56"/>
      <c r="W50" s="39" t="s">
        <v>9481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9532</v>
      </c>
      <c r="AL50" s="39" t="s">
        <v>9533</v>
      </c>
      <c r="AM50" s="39" t="s">
        <v>9534</v>
      </c>
      <c r="AN50" s="39" t="s">
        <v>9535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9397</v>
      </c>
      <c r="E51" s="56"/>
      <c r="F51" s="56"/>
      <c r="G51" s="39"/>
      <c r="H51" s="56"/>
      <c r="I51" s="56" t="s">
        <v>9391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2521</v>
      </c>
      <c r="U51" s="56" t="s">
        <v>2521</v>
      </c>
      <c r="V51" s="56"/>
      <c r="W51" s="39" t="s">
        <v>9481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9532</v>
      </c>
      <c r="AL51" s="39" t="s">
        <v>9533</v>
      </c>
      <c r="AM51" s="39" t="s">
        <v>9534</v>
      </c>
      <c r="AN51" s="39" t="s">
        <v>9535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9397</v>
      </c>
      <c r="E52" s="56"/>
      <c r="F52" s="56"/>
      <c r="G52" s="39"/>
      <c r="H52" s="56"/>
      <c r="I52" s="56" t="s">
        <v>9391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2521</v>
      </c>
      <c r="U52" s="56" t="s">
        <v>2521</v>
      </c>
      <c r="V52" s="56"/>
      <c r="W52" s="39" t="s">
        <v>9481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9536</v>
      </c>
      <c r="AL52" s="39" t="s">
        <v>9537</v>
      </c>
      <c r="AM52" s="39" t="s">
        <v>9538</v>
      </c>
      <c r="AN52" s="39" t="s">
        <v>9539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9540</v>
      </c>
      <c r="B53" s="56" t="s">
        <v>67</v>
      </c>
      <c r="C53" s="56" t="s">
        <v>63</v>
      </c>
      <c r="D53" s="56" t="s">
        <v>9397</v>
      </c>
      <c r="E53" s="56"/>
      <c r="F53" s="56"/>
      <c r="G53" s="39"/>
      <c r="H53" s="56"/>
      <c r="I53" s="56" t="s">
        <v>9391</v>
      </c>
      <c r="J53" s="56" t="s">
        <v>550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2521</v>
      </c>
      <c r="U53" s="56" t="s">
        <v>2521</v>
      </c>
      <c r="V53" s="56"/>
      <c r="W53" s="39" t="s">
        <v>9541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9536</v>
      </c>
      <c r="AL53" s="39" t="s">
        <v>9542</v>
      </c>
      <c r="AM53" s="39" t="s">
        <v>9543</v>
      </c>
      <c r="AN53" s="39" t="s">
        <v>9544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9545</v>
      </c>
      <c r="B54" s="56" t="s">
        <v>67</v>
      </c>
      <c r="C54" s="56" t="s">
        <v>63</v>
      </c>
      <c r="D54" s="56" t="s">
        <v>9397</v>
      </c>
      <c r="E54" s="56"/>
      <c r="F54" s="56"/>
      <c r="G54" s="39"/>
      <c r="H54" s="56"/>
      <c r="I54" s="56" t="s">
        <v>9391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2521</v>
      </c>
      <c r="U54" s="56" t="s">
        <v>2521</v>
      </c>
      <c r="V54" s="56"/>
      <c r="W54" s="39" t="s">
        <v>9546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9547</v>
      </c>
      <c r="AL54" s="39" t="s">
        <v>9548</v>
      </c>
      <c r="AM54" s="39" t="s">
        <v>9549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9550</v>
      </c>
      <c r="B55" s="56" t="s">
        <v>67</v>
      </c>
      <c r="C55" s="56" t="s">
        <v>63</v>
      </c>
      <c r="D55" s="56" t="s">
        <v>9397</v>
      </c>
      <c r="E55" s="56"/>
      <c r="F55" s="56"/>
      <c r="G55" s="39"/>
      <c r="H55" s="56"/>
      <c r="I55" s="56" t="s">
        <v>9391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2521</v>
      </c>
      <c r="U55" s="56" t="s">
        <v>2521</v>
      </c>
      <c r="V55" s="56"/>
      <c r="W55" s="39" t="s">
        <v>9546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9547</v>
      </c>
      <c r="AL55" s="39" t="s">
        <v>9548</v>
      </c>
      <c r="AM55" s="39" t="s">
        <v>9549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9551</v>
      </c>
      <c r="B56" s="98" t="s">
        <v>67</v>
      </c>
      <c r="C56" s="98" t="s">
        <v>63</v>
      </c>
      <c r="D56" s="98" t="s">
        <v>9397</v>
      </c>
      <c r="E56" s="98"/>
      <c r="F56" s="99"/>
      <c r="G56" s="36"/>
      <c r="H56" s="99"/>
      <c r="I56" s="56" t="s">
        <v>9391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2521</v>
      </c>
      <c r="U56" s="56" t="s">
        <v>2521</v>
      </c>
      <c r="V56" s="56"/>
      <c r="W56" s="39" t="s">
        <v>9546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9552</v>
      </c>
      <c r="AL56" s="36" t="s">
        <v>9553</v>
      </c>
      <c r="AM56" s="36" t="s">
        <v>9554</v>
      </c>
      <c r="AN56" s="36" t="s">
        <v>9555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9556</v>
      </c>
      <c r="B57" s="56" t="s">
        <v>67</v>
      </c>
      <c r="C57" s="56" t="s">
        <v>63</v>
      </c>
      <c r="D57" s="56" t="s">
        <v>9397</v>
      </c>
      <c r="E57" s="56"/>
      <c r="F57" s="56"/>
      <c r="G57" s="39"/>
      <c r="H57" s="56"/>
      <c r="I57" s="56" t="s">
        <v>9391</v>
      </c>
      <c r="J57" s="56" t="s">
        <v>550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2521</v>
      </c>
      <c r="U57" s="56" t="s">
        <v>2521</v>
      </c>
      <c r="V57" s="56"/>
      <c r="W57" s="39" t="s">
        <v>9541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9557</v>
      </c>
      <c r="AL57" s="39" t="s">
        <v>9558</v>
      </c>
      <c r="AM57" s="39" t="s">
        <v>9559</v>
      </c>
      <c r="AN57" s="39" t="s">
        <v>9560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9561</v>
      </c>
      <c r="B58" s="56" t="s">
        <v>67</v>
      </c>
      <c r="C58" s="56" t="s">
        <v>63</v>
      </c>
      <c r="D58" s="56" t="s">
        <v>9397</v>
      </c>
      <c r="E58" s="56"/>
      <c r="F58" s="56"/>
      <c r="G58" s="39"/>
      <c r="H58" s="56"/>
      <c r="I58" s="56" t="s">
        <v>9391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2521</v>
      </c>
      <c r="U58" s="56" t="s">
        <v>2521</v>
      </c>
      <c r="V58" s="56"/>
      <c r="W58" s="39" t="s">
        <v>9546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9557</v>
      </c>
      <c r="AL58" s="39" t="s">
        <v>9558</v>
      </c>
      <c r="AM58" s="39" t="s">
        <v>9559</v>
      </c>
      <c r="AN58" s="39" t="s">
        <v>9560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9562</v>
      </c>
      <c r="B59" s="56" t="s">
        <v>67</v>
      </c>
      <c r="C59" s="56" t="s">
        <v>63</v>
      </c>
      <c r="D59" s="56" t="s">
        <v>9397</v>
      </c>
      <c r="E59" s="56"/>
      <c r="F59" s="56"/>
      <c r="G59" s="39"/>
      <c r="H59" s="56"/>
      <c r="I59" s="56" t="s">
        <v>9391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2521</v>
      </c>
      <c r="U59" s="56" t="s">
        <v>2521</v>
      </c>
      <c r="V59" s="56"/>
      <c r="W59" s="39" t="s">
        <v>9541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9563</v>
      </c>
      <c r="AL59" s="39" t="s">
        <v>9564</v>
      </c>
      <c r="AM59" s="39" t="s">
        <v>9565</v>
      </c>
      <c r="AN59" s="39" t="s">
        <v>9566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9567</v>
      </c>
      <c r="B60" s="56" t="s">
        <v>67</v>
      </c>
      <c r="C60" s="56" t="s">
        <v>63</v>
      </c>
      <c r="D60" s="56" t="s">
        <v>9397</v>
      </c>
      <c r="E60" s="56"/>
      <c r="F60" s="56"/>
      <c r="G60" s="39"/>
      <c r="H60" s="56"/>
      <c r="I60" s="56" t="s">
        <v>9391</v>
      </c>
      <c r="J60" s="56" t="s">
        <v>550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2521</v>
      </c>
      <c r="U60" s="56" t="s">
        <v>2521</v>
      </c>
      <c r="V60" s="56"/>
      <c r="W60" s="39" t="s">
        <v>9541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9563</v>
      </c>
      <c r="AL60" s="39" t="s">
        <v>9564</v>
      </c>
      <c r="AM60" s="39" t="s">
        <v>9565</v>
      </c>
      <c r="AN60" s="39" t="s">
        <v>9566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9568</v>
      </c>
      <c r="B61" s="56" t="s">
        <v>67</v>
      </c>
      <c r="C61" s="56" t="s">
        <v>63</v>
      </c>
      <c r="D61" s="56" t="s">
        <v>9397</v>
      </c>
      <c r="E61" s="56"/>
      <c r="F61" s="56"/>
      <c r="G61" s="39"/>
      <c r="H61" s="56"/>
      <c r="I61" s="56" t="s">
        <v>9391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2521</v>
      </c>
      <c r="U61" s="56" t="s">
        <v>2521</v>
      </c>
      <c r="V61" s="56"/>
      <c r="W61" s="39" t="s">
        <v>9546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9563</v>
      </c>
      <c r="AL61" s="39" t="s">
        <v>9564</v>
      </c>
      <c r="AM61" s="39" t="s">
        <v>9565</v>
      </c>
      <c r="AN61" s="39" t="s">
        <v>9566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9569</v>
      </c>
      <c r="B62" s="56" t="s">
        <v>67</v>
      </c>
      <c r="C62" s="56" t="s">
        <v>63</v>
      </c>
      <c r="D62" s="56" t="s">
        <v>9397</v>
      </c>
      <c r="E62" s="56"/>
      <c r="F62" s="56"/>
      <c r="G62" s="39"/>
      <c r="H62" s="56"/>
      <c r="I62" s="56" t="s">
        <v>9391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2521</v>
      </c>
      <c r="U62" s="56" t="s">
        <v>2521</v>
      </c>
      <c r="V62" s="56"/>
      <c r="W62" s="39" t="s">
        <v>9546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9563</v>
      </c>
      <c r="AL62" s="39" t="s">
        <v>9564</v>
      </c>
      <c r="AM62" s="39" t="s">
        <v>9565</v>
      </c>
      <c r="AN62" s="39" t="s">
        <v>9566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9570</v>
      </c>
      <c r="B63" s="56" t="s">
        <v>67</v>
      </c>
      <c r="C63" s="56" t="s">
        <v>63</v>
      </c>
      <c r="D63" s="56" t="s">
        <v>9397</v>
      </c>
      <c r="E63" s="56"/>
      <c r="F63" s="56"/>
      <c r="G63" s="39"/>
      <c r="H63" s="56"/>
      <c r="I63" s="56" t="s">
        <v>9391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2521</v>
      </c>
      <c r="U63" s="56" t="s">
        <v>2521</v>
      </c>
      <c r="V63" s="56"/>
      <c r="W63" s="39" t="s">
        <v>9546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9563</v>
      </c>
      <c r="AL63" s="39" t="s">
        <v>9564</v>
      </c>
      <c r="AM63" s="39" t="s">
        <v>9565</v>
      </c>
      <c r="AN63" s="39" t="s">
        <v>9566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9571</v>
      </c>
      <c r="B64" s="56" t="s">
        <v>67</v>
      </c>
      <c r="C64" s="56" t="s">
        <v>63</v>
      </c>
      <c r="D64" s="56" t="s">
        <v>9397</v>
      </c>
      <c r="E64" s="56"/>
      <c r="F64" s="56"/>
      <c r="G64" s="39"/>
      <c r="H64" s="56"/>
      <c r="I64" s="56" t="s">
        <v>9391</v>
      </c>
      <c r="J64" s="56" t="s">
        <v>550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2521</v>
      </c>
      <c r="U64" s="56" t="s">
        <v>2521</v>
      </c>
      <c r="V64" s="56"/>
      <c r="W64" s="39" t="s">
        <v>9541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9572</v>
      </c>
      <c r="AL64" s="39" t="s">
        <v>9573</v>
      </c>
      <c r="AM64" s="39" t="s">
        <v>9574</v>
      </c>
      <c r="AN64" s="39" t="s">
        <v>9574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9575</v>
      </c>
      <c r="B65" s="56" t="s">
        <v>67</v>
      </c>
      <c r="C65" s="56" t="s">
        <v>63</v>
      </c>
      <c r="D65" s="56" t="s">
        <v>9397</v>
      </c>
      <c r="E65" s="56"/>
      <c r="F65" s="56"/>
      <c r="G65" s="39"/>
      <c r="H65" s="56"/>
      <c r="I65" s="56" t="s">
        <v>9391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2521</v>
      </c>
      <c r="U65" s="56" t="s">
        <v>2521</v>
      </c>
      <c r="V65" s="56"/>
      <c r="W65" s="39" t="s">
        <v>9546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9576</v>
      </c>
      <c r="AL65" s="39" t="s">
        <v>9573</v>
      </c>
      <c r="AM65" s="39" t="s">
        <v>9574</v>
      </c>
      <c r="AN65" s="39" t="s">
        <v>9574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9577</v>
      </c>
      <c r="B66" s="98" t="s">
        <v>67</v>
      </c>
      <c r="C66" s="98" t="s">
        <v>63</v>
      </c>
      <c r="D66" s="98" t="s">
        <v>9397</v>
      </c>
      <c r="E66" s="98"/>
      <c r="F66" s="56"/>
      <c r="G66" s="39"/>
      <c r="H66" s="56"/>
      <c r="I66" s="56" t="s">
        <v>9391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2521</v>
      </c>
      <c r="U66" s="56" t="s">
        <v>2521</v>
      </c>
      <c r="V66" s="56"/>
      <c r="W66" s="39" t="s">
        <v>9546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9578</v>
      </c>
      <c r="AL66" s="36" t="s">
        <v>9579</v>
      </c>
      <c r="AM66" s="36" t="s">
        <v>9580</v>
      </c>
      <c r="AN66" s="36" t="s">
        <v>9581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9582</v>
      </c>
      <c r="B67" s="56" t="s">
        <v>67</v>
      </c>
      <c r="C67" s="56" t="s">
        <v>63</v>
      </c>
      <c r="D67" s="56" t="s">
        <v>9397</v>
      </c>
      <c r="E67" s="56"/>
      <c r="F67" s="56"/>
      <c r="G67" s="39"/>
      <c r="H67" s="56"/>
      <c r="I67" s="56" t="s">
        <v>9391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2521</v>
      </c>
      <c r="U67" s="56" t="s">
        <v>2521</v>
      </c>
      <c r="V67" s="56"/>
      <c r="W67" s="39" t="s">
        <v>9546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9583</v>
      </c>
      <c r="AL67" s="39" t="s">
        <v>9584</v>
      </c>
      <c r="AM67" s="39" t="s">
        <v>9585</v>
      </c>
      <c r="AN67" s="39" t="s">
        <v>9585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9586</v>
      </c>
      <c r="B68" s="56" t="s">
        <v>67</v>
      </c>
      <c r="C68" s="56" t="s">
        <v>63</v>
      </c>
      <c r="D68" s="56" t="s">
        <v>9397</v>
      </c>
      <c r="E68" s="56"/>
      <c r="F68" s="56"/>
      <c r="G68" s="39"/>
      <c r="H68" s="56"/>
      <c r="I68" s="56" t="s">
        <v>9391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2521</v>
      </c>
      <c r="U68" s="56" t="s">
        <v>2521</v>
      </c>
      <c r="V68" s="56"/>
      <c r="W68" s="39" t="s">
        <v>9587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9588</v>
      </c>
      <c r="AL68" s="39" t="s">
        <v>9589</v>
      </c>
      <c r="AM68" s="39" t="s">
        <v>9590</v>
      </c>
      <c r="AN68" s="39" t="s">
        <v>9590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9591</v>
      </c>
      <c r="B69" s="56" t="s">
        <v>67</v>
      </c>
      <c r="C69" s="56" t="s">
        <v>63</v>
      </c>
      <c r="D69" s="56" t="s">
        <v>9397</v>
      </c>
      <c r="E69" s="56"/>
      <c r="F69" s="56"/>
      <c r="G69" s="39"/>
      <c r="H69" s="56"/>
      <c r="I69" s="56" t="s">
        <v>9391</v>
      </c>
      <c r="J69" s="56" t="s">
        <v>550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2521</v>
      </c>
      <c r="U69" s="56" t="s">
        <v>2521</v>
      </c>
      <c r="V69" s="56"/>
      <c r="W69" s="39" t="s">
        <v>9541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9592</v>
      </c>
      <c r="AL69" s="39" t="s">
        <v>9593</v>
      </c>
      <c r="AM69" s="39" t="s">
        <v>9594</v>
      </c>
      <c r="AN69" s="39" t="s">
        <v>9594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9595</v>
      </c>
      <c r="B70" s="56" t="s">
        <v>67</v>
      </c>
      <c r="C70" s="56" t="s">
        <v>63</v>
      </c>
      <c r="D70" s="56" t="s">
        <v>9397</v>
      </c>
      <c r="E70" s="56"/>
      <c r="F70" s="56"/>
      <c r="G70" s="39"/>
      <c r="H70" s="56"/>
      <c r="I70" s="56" t="s">
        <v>9391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2521</v>
      </c>
      <c r="U70" s="56" t="s">
        <v>2521</v>
      </c>
      <c r="V70" s="56"/>
      <c r="W70" s="39" t="s">
        <v>9546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9596</v>
      </c>
      <c r="AL70" s="39" t="s">
        <v>9597</v>
      </c>
      <c r="AM70" s="39" t="s">
        <v>9598</v>
      </c>
      <c r="AN70" s="39" t="s">
        <v>9598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9599</v>
      </c>
      <c r="B71" s="56" t="s">
        <v>67</v>
      </c>
      <c r="C71" s="56" t="s">
        <v>63</v>
      </c>
      <c r="D71" s="56" t="s">
        <v>9397</v>
      </c>
      <c r="E71" s="56"/>
      <c r="F71" s="56"/>
      <c r="G71" s="39"/>
      <c r="H71" s="56"/>
      <c r="I71" s="56" t="s">
        <v>9391</v>
      </c>
      <c r="J71" s="56" t="s">
        <v>550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2521</v>
      </c>
      <c r="U71" s="56" t="s">
        <v>2521</v>
      </c>
      <c r="V71" s="56"/>
      <c r="W71" s="39" t="s">
        <v>9541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9600</v>
      </c>
      <c r="AL71" s="39" t="s">
        <v>9601</v>
      </c>
      <c r="AM71" s="39" t="s">
        <v>9602</v>
      </c>
      <c r="AN71" s="39" t="s">
        <v>9602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9603</v>
      </c>
      <c r="B72" s="56" t="s">
        <v>67</v>
      </c>
      <c r="C72" s="56" t="s">
        <v>63</v>
      </c>
      <c r="D72" s="56" t="s">
        <v>9397</v>
      </c>
      <c r="E72" s="56"/>
      <c r="F72" s="56"/>
      <c r="G72" s="39"/>
      <c r="H72" s="56"/>
      <c r="I72" s="56" t="s">
        <v>9391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2521</v>
      </c>
      <c r="U72" s="56" t="s">
        <v>2521</v>
      </c>
      <c r="V72" s="56"/>
      <c r="W72" s="39" t="s">
        <v>9546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9604</v>
      </c>
      <c r="AL72" s="39" t="s">
        <v>9605</v>
      </c>
      <c r="AM72" s="39" t="s">
        <v>9606</v>
      </c>
      <c r="AN72" s="39" t="s">
        <v>9606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9607</v>
      </c>
      <c r="B73" s="56" t="s">
        <v>67</v>
      </c>
      <c r="C73" s="56" t="s">
        <v>63</v>
      </c>
      <c r="D73" s="56" t="s">
        <v>9397</v>
      </c>
      <c r="E73" s="56"/>
      <c r="F73" s="56"/>
      <c r="G73" s="39"/>
      <c r="H73" s="56"/>
      <c r="I73" s="56" t="s">
        <v>9391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2521</v>
      </c>
      <c r="U73" s="56" t="s">
        <v>2521</v>
      </c>
      <c r="V73" s="56"/>
      <c r="W73" s="39" t="s">
        <v>9546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9604</v>
      </c>
      <c r="AL73" s="39" t="s">
        <v>9605</v>
      </c>
      <c r="AM73" s="39" t="s">
        <v>9606</v>
      </c>
      <c r="AN73" s="39" t="s">
        <v>9606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9608</v>
      </c>
      <c r="B74" s="56" t="s">
        <v>67</v>
      </c>
      <c r="C74" s="56" t="s">
        <v>63</v>
      </c>
      <c r="D74" s="56" t="s">
        <v>9397</v>
      </c>
      <c r="E74" s="56"/>
      <c r="F74" s="56"/>
      <c r="G74" s="39"/>
      <c r="H74" s="56"/>
      <c r="I74" s="56" t="s">
        <v>9391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2521</v>
      </c>
      <c r="U74" s="56" t="s">
        <v>2521</v>
      </c>
      <c r="V74" s="56"/>
      <c r="W74" s="39" t="s">
        <v>9546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9609</v>
      </c>
      <c r="AL74" s="39" t="s">
        <v>9610</v>
      </c>
      <c r="AM74" s="39" t="s">
        <v>9611</v>
      </c>
      <c r="AN74" s="39" t="s">
        <v>9611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9612</v>
      </c>
      <c r="B75" s="56" t="s">
        <v>67</v>
      </c>
      <c r="C75" s="56" t="s">
        <v>63</v>
      </c>
      <c r="D75" s="56" t="s">
        <v>9397</v>
      </c>
      <c r="E75" s="56"/>
      <c r="F75" s="56"/>
      <c r="G75" s="39"/>
      <c r="H75" s="56"/>
      <c r="I75" s="56" t="s">
        <v>9391</v>
      </c>
      <c r="J75" s="56" t="s">
        <v>550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2521</v>
      </c>
      <c r="U75" s="56" t="s">
        <v>2521</v>
      </c>
      <c r="V75" s="56"/>
      <c r="W75" s="39" t="s">
        <v>9541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9609</v>
      </c>
      <c r="AL75" s="39" t="s">
        <v>9613</v>
      </c>
      <c r="AM75" s="39" t="s">
        <v>9614</v>
      </c>
      <c r="AN75" s="39" t="s">
        <v>9615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9616</v>
      </c>
      <c r="B76" s="56" t="s">
        <v>67</v>
      </c>
      <c r="C76" s="56" t="s">
        <v>63</v>
      </c>
      <c r="D76" s="56" t="s">
        <v>9397</v>
      </c>
      <c r="E76" s="56"/>
      <c r="F76" s="56"/>
      <c r="G76" s="39"/>
      <c r="H76" s="56"/>
      <c r="I76" s="56" t="s">
        <v>9391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2521</v>
      </c>
      <c r="U76" s="56" t="s">
        <v>2521</v>
      </c>
      <c r="V76" s="56"/>
      <c r="W76" s="39" t="s">
        <v>9546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9617</v>
      </c>
      <c r="AL76" s="39" t="s">
        <v>9618</v>
      </c>
      <c r="AM76" s="39" t="s">
        <v>9619</v>
      </c>
      <c r="AN76" s="39" t="s">
        <v>9620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9621</v>
      </c>
      <c r="B77" s="56" t="s">
        <v>67</v>
      </c>
      <c r="C77" s="56" t="s">
        <v>63</v>
      </c>
      <c r="D77" s="56" t="s">
        <v>9397</v>
      </c>
      <c r="E77" s="56"/>
      <c r="F77" s="56"/>
      <c r="G77" s="39"/>
      <c r="H77" s="56"/>
      <c r="I77" s="56" t="s">
        <v>9391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2521</v>
      </c>
      <c r="U77" s="56" t="s">
        <v>2521</v>
      </c>
      <c r="V77" s="56"/>
      <c r="W77" s="39" t="s">
        <v>9546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9617</v>
      </c>
      <c r="AL77" s="39" t="s">
        <v>9618</v>
      </c>
      <c r="AM77" s="39" t="s">
        <v>9619</v>
      </c>
      <c r="AN77" s="39" t="s">
        <v>9620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9622</v>
      </c>
      <c r="B78" s="56" t="s">
        <v>67</v>
      </c>
      <c r="C78" s="56" t="s">
        <v>63</v>
      </c>
      <c r="D78" s="56" t="s">
        <v>9397</v>
      </c>
      <c r="E78" s="56"/>
      <c r="F78" s="56"/>
      <c r="G78" s="39"/>
      <c r="H78" s="56"/>
      <c r="I78" s="56" t="s">
        <v>9391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2521</v>
      </c>
      <c r="U78" s="56" t="s">
        <v>2521</v>
      </c>
      <c r="V78" s="56"/>
      <c r="W78" s="39" t="s">
        <v>9546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9617</v>
      </c>
      <c r="AL78" s="39" t="s">
        <v>9618</v>
      </c>
      <c r="AM78" s="39" t="s">
        <v>9619</v>
      </c>
      <c r="AN78" s="39" t="s">
        <v>9620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9623</v>
      </c>
      <c r="B79" s="98" t="s">
        <v>67</v>
      </c>
      <c r="C79" s="98" t="s">
        <v>63</v>
      </c>
      <c r="D79" s="98" t="s">
        <v>9397</v>
      </c>
      <c r="E79" s="98"/>
      <c r="F79" s="99"/>
      <c r="G79" s="36"/>
      <c r="H79" s="99"/>
      <c r="I79" s="56" t="s">
        <v>9391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2521</v>
      </c>
      <c r="U79" s="56" t="s">
        <v>2521</v>
      </c>
      <c r="V79" s="56"/>
      <c r="W79" s="36" t="s">
        <v>9546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9592</v>
      </c>
      <c r="AL79" s="36" t="s">
        <v>9624</v>
      </c>
      <c r="AM79" s="36" t="s">
        <v>9625</v>
      </c>
      <c r="AN79" s="36" t="s">
        <v>9625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9626</v>
      </c>
      <c r="B80" s="56" t="s">
        <v>67</v>
      </c>
      <c r="C80" s="56" t="s">
        <v>63</v>
      </c>
      <c r="D80" s="56" t="s">
        <v>9397</v>
      </c>
      <c r="E80" s="56"/>
      <c r="F80" s="56"/>
      <c r="G80" s="39"/>
      <c r="H80" s="56"/>
      <c r="I80" s="56" t="s">
        <v>9391</v>
      </c>
      <c r="J80" s="56" t="s">
        <v>550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2521</v>
      </c>
      <c r="U80" s="56" t="s">
        <v>2521</v>
      </c>
      <c r="V80" s="56"/>
      <c r="W80" s="39" t="s">
        <v>9541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9627</v>
      </c>
      <c r="AL80" s="39" t="s">
        <v>9628</v>
      </c>
      <c r="AM80" s="39" t="s">
        <v>9629</v>
      </c>
      <c r="AN80" s="39" t="s">
        <v>9629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9630</v>
      </c>
      <c r="B81" s="56" t="s">
        <v>67</v>
      </c>
      <c r="C81" s="56" t="s">
        <v>63</v>
      </c>
      <c r="D81" s="56" t="s">
        <v>9397</v>
      </c>
      <c r="E81" s="56"/>
      <c r="F81" s="56"/>
      <c r="G81" s="39"/>
      <c r="H81" s="56"/>
      <c r="I81" s="56" t="s">
        <v>9391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2521</v>
      </c>
      <c r="U81" s="56" t="s">
        <v>2521</v>
      </c>
      <c r="V81" s="56"/>
      <c r="W81" s="39" t="s">
        <v>9546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9627</v>
      </c>
      <c r="AL81" s="39" t="s">
        <v>9628</v>
      </c>
      <c r="AM81" s="39" t="s">
        <v>9629</v>
      </c>
      <c r="AN81" s="39" t="s">
        <v>9629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9631</v>
      </c>
      <c r="B82" s="56" t="s">
        <v>67</v>
      </c>
      <c r="C82" s="56" t="s">
        <v>63</v>
      </c>
      <c r="D82" s="56" t="s">
        <v>9397</v>
      </c>
      <c r="E82" s="56"/>
      <c r="F82" s="56"/>
      <c r="G82" s="39"/>
      <c r="H82" s="56"/>
      <c r="I82" s="56" t="s">
        <v>9391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2521</v>
      </c>
      <c r="U82" s="56" t="s">
        <v>2521</v>
      </c>
      <c r="V82" s="56"/>
      <c r="W82" s="39" t="s">
        <v>9546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9627</v>
      </c>
      <c r="AL82" s="39" t="s">
        <v>9628</v>
      </c>
      <c r="AM82" s="39" t="s">
        <v>9629</v>
      </c>
      <c r="AN82" s="39" t="s">
        <v>9629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9632</v>
      </c>
      <c r="B83" s="56" t="s">
        <v>67</v>
      </c>
      <c r="C83" s="56" t="s">
        <v>63</v>
      </c>
      <c r="D83" s="56" t="s">
        <v>9397</v>
      </c>
      <c r="E83" s="56"/>
      <c r="F83" s="56" t="s">
        <v>2529</v>
      </c>
      <c r="G83" s="39"/>
      <c r="H83" s="56"/>
      <c r="I83" s="82" t="s">
        <v>9391</v>
      </c>
      <c r="J83" s="56" t="s">
        <v>170</v>
      </c>
      <c r="K83" s="75">
        <v>552027</v>
      </c>
      <c r="L83" s="56" t="s">
        <v>9392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2521</v>
      </c>
      <c r="U83" s="56" t="s">
        <v>2521</v>
      </c>
      <c r="V83" s="56"/>
      <c r="W83" s="39" t="s">
        <v>9546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9633</v>
      </c>
      <c r="AL83" s="39" t="s">
        <v>9634</v>
      </c>
      <c r="AM83" s="39" t="s">
        <v>9635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9636</v>
      </c>
      <c r="B84" s="56" t="s">
        <v>67</v>
      </c>
      <c r="C84" s="56" t="s">
        <v>63</v>
      </c>
      <c r="D84" s="56" t="s">
        <v>9397</v>
      </c>
      <c r="E84" s="56"/>
      <c r="F84" s="56"/>
      <c r="G84" s="39"/>
      <c r="H84" s="56"/>
      <c r="I84" s="56" t="s">
        <v>9391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2521</v>
      </c>
      <c r="U84" s="56" t="s">
        <v>2521</v>
      </c>
      <c r="V84" s="56"/>
      <c r="W84" s="18" t="s">
        <v>9587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9637</v>
      </c>
      <c r="AL84" s="18" t="s">
        <v>9638</v>
      </c>
      <c r="AM84" s="18" t="s">
        <v>9639</v>
      </c>
      <c r="AN84" s="18" t="s">
        <v>9639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9640</v>
      </c>
      <c r="B85" s="56" t="s">
        <v>67</v>
      </c>
      <c r="C85" s="56" t="s">
        <v>63</v>
      </c>
      <c r="D85" s="56" t="s">
        <v>9397</v>
      </c>
      <c r="E85" s="56"/>
      <c r="F85" s="56"/>
      <c r="G85" s="39"/>
      <c r="H85" s="56"/>
      <c r="I85" s="56" t="s">
        <v>9391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2521</v>
      </c>
      <c r="U85" s="56" t="s">
        <v>2521</v>
      </c>
      <c r="V85" s="56"/>
      <c r="W85" s="39" t="s">
        <v>9546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9641</v>
      </c>
      <c r="AL85" s="39" t="s">
        <v>9642</v>
      </c>
      <c r="AM85" s="39" t="s">
        <v>9643</v>
      </c>
      <c r="AN85" s="39" t="s">
        <v>9644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9645</v>
      </c>
      <c r="B86" s="56" t="s">
        <v>67</v>
      </c>
      <c r="C86" s="56" t="s">
        <v>63</v>
      </c>
      <c r="D86" s="56" t="s">
        <v>9397</v>
      </c>
      <c r="E86" s="56"/>
      <c r="F86" s="56"/>
      <c r="G86" s="39"/>
      <c r="H86" s="56"/>
      <c r="I86" s="56" t="s">
        <v>9391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2521</v>
      </c>
      <c r="U86" s="56" t="s">
        <v>2521</v>
      </c>
      <c r="V86" s="56"/>
      <c r="W86" s="39" t="s">
        <v>9546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9641</v>
      </c>
      <c r="AL86" s="39" t="s">
        <v>9642</v>
      </c>
      <c r="AM86" s="39" t="s">
        <v>9643</v>
      </c>
      <c r="AN86" s="39" t="s">
        <v>9644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9646</v>
      </c>
      <c r="B87" s="56" t="s">
        <v>67</v>
      </c>
      <c r="C87" s="56" t="s">
        <v>63</v>
      </c>
      <c r="D87" s="56" t="s">
        <v>9397</v>
      </c>
      <c r="E87" s="56"/>
      <c r="F87" s="56"/>
      <c r="G87" s="39"/>
      <c r="H87" s="56"/>
      <c r="I87" s="56" t="s">
        <v>9391</v>
      </c>
      <c r="J87" s="56" t="s">
        <v>550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2521</v>
      </c>
      <c r="U87" s="56" t="s">
        <v>2521</v>
      </c>
      <c r="V87" s="56"/>
      <c r="W87" s="39" t="s">
        <v>9541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9600</v>
      </c>
      <c r="AL87" s="39" t="s">
        <v>9647</v>
      </c>
      <c r="AM87" s="39" t="s">
        <v>9648</v>
      </c>
      <c r="AN87" s="39" t="s">
        <v>9648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9649</v>
      </c>
      <c r="B88" s="56" t="s">
        <v>67</v>
      </c>
      <c r="C88" s="56" t="s">
        <v>63</v>
      </c>
      <c r="D88" s="56" t="s">
        <v>9397</v>
      </c>
      <c r="E88" s="56"/>
      <c r="F88" s="56"/>
      <c r="G88" s="39"/>
      <c r="H88" s="56"/>
      <c r="I88" s="56" t="s">
        <v>9391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2521</v>
      </c>
      <c r="U88" s="56" t="s">
        <v>2521</v>
      </c>
      <c r="V88" s="56"/>
      <c r="W88" s="39" t="s">
        <v>9541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9650</v>
      </c>
      <c r="AL88" s="39" t="s">
        <v>9651</v>
      </c>
      <c r="AM88" s="39" t="s">
        <v>9652</v>
      </c>
      <c r="AN88" s="39" t="s">
        <v>9652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9653</v>
      </c>
      <c r="B89" s="56" t="s">
        <v>67</v>
      </c>
      <c r="C89" s="56" t="s">
        <v>63</v>
      </c>
      <c r="D89" s="56" t="s">
        <v>9397</v>
      </c>
      <c r="E89" s="56"/>
      <c r="F89" s="56"/>
      <c r="G89" s="39"/>
      <c r="H89" s="56"/>
      <c r="I89" s="56" t="s">
        <v>9391</v>
      </c>
      <c r="J89" s="56" t="s">
        <v>550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2521</v>
      </c>
      <c r="U89" s="56" t="s">
        <v>2521</v>
      </c>
      <c r="V89" s="56"/>
      <c r="W89" s="39" t="s">
        <v>9541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9654</v>
      </c>
      <c r="AL89" s="39" t="s">
        <v>9655</v>
      </c>
      <c r="AM89" s="39" t="s">
        <v>9656</v>
      </c>
      <c r="AN89" s="39" t="s">
        <v>9656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9657</v>
      </c>
      <c r="B90" s="56" t="s">
        <v>67</v>
      </c>
      <c r="C90" s="56" t="s">
        <v>63</v>
      </c>
      <c r="D90" s="56" t="s">
        <v>9397</v>
      </c>
      <c r="E90" s="56"/>
      <c r="F90" s="56"/>
      <c r="G90" s="39"/>
      <c r="H90" s="56"/>
      <c r="I90" s="56" t="s">
        <v>9391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2521</v>
      </c>
      <c r="U90" s="56" t="s">
        <v>2521</v>
      </c>
      <c r="V90" s="56"/>
      <c r="W90" s="39" t="s">
        <v>9541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9658</v>
      </c>
      <c r="AL90" s="39" t="s">
        <v>9659</v>
      </c>
      <c r="AM90" s="112" t="s">
        <v>9660</v>
      </c>
      <c r="AN90" s="39" t="s">
        <v>9661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9662</v>
      </c>
      <c r="B91" s="56" t="s">
        <v>67</v>
      </c>
      <c r="C91" s="56" t="s">
        <v>63</v>
      </c>
      <c r="D91" s="56" t="s">
        <v>9397</v>
      </c>
      <c r="E91" s="56"/>
      <c r="F91" s="56"/>
      <c r="G91" s="39"/>
      <c r="H91" s="56"/>
      <c r="I91" s="56" t="s">
        <v>9391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2521</v>
      </c>
      <c r="U91" s="56" t="s">
        <v>2521</v>
      </c>
      <c r="V91" s="56"/>
      <c r="W91" s="39" t="s">
        <v>9546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9663</v>
      </c>
      <c r="AL91" s="39" t="s">
        <v>9664</v>
      </c>
      <c r="AM91" s="39" t="s">
        <v>9665</v>
      </c>
      <c r="AN91" s="39" t="s">
        <v>9665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9666</v>
      </c>
      <c r="B92" s="56" t="s">
        <v>67</v>
      </c>
      <c r="C92" s="56" t="s">
        <v>63</v>
      </c>
      <c r="D92" s="56" t="s">
        <v>9397</v>
      </c>
      <c r="E92" s="56"/>
      <c r="F92" s="56"/>
      <c r="G92" s="39"/>
      <c r="H92" s="56"/>
      <c r="I92" s="56" t="s">
        <v>9391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2521</v>
      </c>
      <c r="U92" s="56" t="s">
        <v>2521</v>
      </c>
      <c r="V92" s="56"/>
      <c r="W92" s="39" t="s">
        <v>9541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9663</v>
      </c>
      <c r="AL92" s="39" t="s">
        <v>9664</v>
      </c>
      <c r="AM92" s="39" t="s">
        <v>9665</v>
      </c>
      <c r="AN92" s="39" t="s">
        <v>9665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9667</v>
      </c>
      <c r="B93" s="56" t="s">
        <v>67</v>
      </c>
      <c r="C93" s="56" t="s">
        <v>63</v>
      </c>
      <c r="D93" s="56" t="s">
        <v>9397</v>
      </c>
      <c r="E93" s="56"/>
      <c r="F93" s="56"/>
      <c r="G93" s="39"/>
      <c r="H93" s="56"/>
      <c r="I93" s="56" t="s">
        <v>9391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2521</v>
      </c>
      <c r="U93" s="56" t="s">
        <v>2521</v>
      </c>
      <c r="V93" s="56"/>
      <c r="W93" s="18" t="s">
        <v>9546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9668</v>
      </c>
      <c r="AL93" s="18" t="s">
        <v>9669</v>
      </c>
      <c r="AM93" s="18" t="s">
        <v>9670</v>
      </c>
      <c r="AN93" s="18" t="s">
        <v>9670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9671</v>
      </c>
      <c r="B94" s="56" t="s">
        <v>67</v>
      </c>
      <c r="C94" s="56" t="s">
        <v>63</v>
      </c>
      <c r="D94" s="56" t="s">
        <v>9397</v>
      </c>
      <c r="E94" s="56"/>
      <c r="F94" s="56"/>
      <c r="G94" s="39"/>
      <c r="H94" s="56"/>
      <c r="I94" s="56" t="s">
        <v>9391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2521</v>
      </c>
      <c r="U94" s="56" t="s">
        <v>2521</v>
      </c>
      <c r="V94" s="56"/>
      <c r="W94" s="18" t="s">
        <v>9587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9668</v>
      </c>
      <c r="AL94" s="18" t="s">
        <v>9669</v>
      </c>
      <c r="AM94" s="18" t="s">
        <v>9670</v>
      </c>
      <c r="AN94" s="18" t="s">
        <v>9670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9672</v>
      </c>
      <c r="B95" s="56" t="s">
        <v>67</v>
      </c>
      <c r="C95" s="56" t="s">
        <v>63</v>
      </c>
      <c r="D95" s="56" t="s">
        <v>9397</v>
      </c>
      <c r="E95" s="56"/>
      <c r="F95" s="56"/>
      <c r="G95" s="39"/>
      <c r="H95" s="56"/>
      <c r="I95" s="56" t="s">
        <v>9391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2521</v>
      </c>
      <c r="U95" s="56" t="s">
        <v>2521</v>
      </c>
      <c r="V95" s="56"/>
      <c r="W95" s="39" t="s">
        <v>9546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9663</v>
      </c>
      <c r="AL95" s="39" t="s">
        <v>9673</v>
      </c>
      <c r="AM95" s="39" t="s">
        <v>9674</v>
      </c>
      <c r="AN95" s="39" t="s">
        <v>9674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9675</v>
      </c>
      <c r="B96" s="56" t="s">
        <v>67</v>
      </c>
      <c r="C96" s="56" t="s">
        <v>63</v>
      </c>
      <c r="D96" s="56" t="s">
        <v>9397</v>
      </c>
      <c r="E96" s="56"/>
      <c r="F96" s="56"/>
      <c r="G96" s="39"/>
      <c r="H96" s="56"/>
      <c r="I96" s="56" t="s">
        <v>9391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2521</v>
      </c>
      <c r="U96" s="56" t="s">
        <v>2521</v>
      </c>
      <c r="V96" s="56"/>
      <c r="W96" s="39" t="s">
        <v>9541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9663</v>
      </c>
      <c r="AL96" s="39" t="s">
        <v>9673</v>
      </c>
      <c r="AM96" s="39" t="s">
        <v>9674</v>
      </c>
      <c r="AN96" s="39" t="s">
        <v>9674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9676</v>
      </c>
      <c r="B97" s="56" t="s">
        <v>67</v>
      </c>
      <c r="C97" s="56" t="s">
        <v>63</v>
      </c>
      <c r="D97" s="56" t="s">
        <v>9397</v>
      </c>
      <c r="E97" s="56"/>
      <c r="F97" s="56"/>
      <c r="G97" s="39"/>
      <c r="H97" s="56"/>
      <c r="I97" s="56" t="s">
        <v>9391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2521</v>
      </c>
      <c r="U97" s="56" t="s">
        <v>2521</v>
      </c>
      <c r="V97" s="56"/>
      <c r="W97" s="39" t="s">
        <v>9546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9663</v>
      </c>
      <c r="AL97" s="39" t="s">
        <v>9673</v>
      </c>
      <c r="AM97" s="39" t="s">
        <v>9674</v>
      </c>
      <c r="AN97" s="39" t="s">
        <v>9674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9677</v>
      </c>
      <c r="B98" s="56" t="s">
        <v>67</v>
      </c>
      <c r="C98" s="56" t="s">
        <v>63</v>
      </c>
      <c r="D98" s="56" t="s">
        <v>9397</v>
      </c>
      <c r="E98" s="56"/>
      <c r="F98" s="56"/>
      <c r="G98" s="39"/>
      <c r="H98" s="56"/>
      <c r="I98" s="56" t="s">
        <v>9391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2521</v>
      </c>
      <c r="U98" s="56" t="s">
        <v>2521</v>
      </c>
      <c r="V98" s="56"/>
      <c r="W98" s="39" t="s">
        <v>9587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9678</v>
      </c>
      <c r="AL98" s="39" t="s">
        <v>9679</v>
      </c>
      <c r="AM98" s="39" t="s">
        <v>9680</v>
      </c>
      <c r="AN98" s="39" t="s">
        <v>9680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9681</v>
      </c>
      <c r="B99" s="56" t="s">
        <v>67</v>
      </c>
      <c r="C99" s="56" t="s">
        <v>63</v>
      </c>
      <c r="D99" s="56" t="s">
        <v>9397</v>
      </c>
      <c r="E99" s="56"/>
      <c r="F99" s="56"/>
      <c r="G99" s="39"/>
      <c r="H99" s="56"/>
      <c r="I99" s="56" t="s">
        <v>9391</v>
      </c>
      <c r="J99" s="56" t="s">
        <v>550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2521</v>
      </c>
      <c r="U99" s="56" t="s">
        <v>2521</v>
      </c>
      <c r="V99" s="56"/>
      <c r="W99" s="39" t="s">
        <v>9541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9682</v>
      </c>
      <c r="AL99" s="39" t="s">
        <v>9683</v>
      </c>
      <c r="AM99" s="39" t="s">
        <v>9684</v>
      </c>
      <c r="AN99" s="39" t="s">
        <v>9684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9685</v>
      </c>
      <c r="B100" s="56" t="s">
        <v>67</v>
      </c>
      <c r="C100" s="56" t="s">
        <v>63</v>
      </c>
      <c r="D100" s="56" t="s">
        <v>9397</v>
      </c>
      <c r="E100" s="56"/>
      <c r="F100" s="56" t="s">
        <v>96</v>
      </c>
      <c r="G100" s="39"/>
      <c r="H100" s="56"/>
      <c r="I100" s="56" t="s">
        <v>9391</v>
      </c>
      <c r="J100" s="56" t="s">
        <v>170</v>
      </c>
      <c r="K100" s="75">
        <v>552028</v>
      </c>
      <c r="L100" s="56" t="s">
        <v>9444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2521</v>
      </c>
      <c r="U100" s="56" t="s">
        <v>2521</v>
      </c>
      <c r="V100" s="56"/>
      <c r="W100" s="39" t="s">
        <v>9546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9663</v>
      </c>
      <c r="AL100" s="39" t="s">
        <v>9686</v>
      </c>
      <c r="AM100" s="39" t="s">
        <v>9687</v>
      </c>
      <c r="AN100" s="39" t="s">
        <v>9687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9688</v>
      </c>
      <c r="B101" s="56" t="s">
        <v>67</v>
      </c>
      <c r="C101" s="56" t="s">
        <v>63</v>
      </c>
      <c r="D101" s="56" t="s">
        <v>9397</v>
      </c>
      <c r="E101" s="56"/>
      <c r="F101" s="56" t="s">
        <v>96</v>
      </c>
      <c r="G101" s="39"/>
      <c r="H101" s="56"/>
      <c r="I101" s="56" t="s">
        <v>9391</v>
      </c>
      <c r="J101" s="56" t="s">
        <v>550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2521</v>
      </c>
      <c r="U101" s="56" t="s">
        <v>2521</v>
      </c>
      <c r="V101" s="56"/>
      <c r="W101" s="39" t="s">
        <v>9541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9663</v>
      </c>
      <c r="AL101" s="39" t="s">
        <v>9686</v>
      </c>
      <c r="AM101" s="39" t="s">
        <v>9687</v>
      </c>
      <c r="AN101" s="39" t="s">
        <v>9687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9689</v>
      </c>
      <c r="B102" s="56" t="s">
        <v>67</v>
      </c>
      <c r="C102" s="56" t="s">
        <v>63</v>
      </c>
      <c r="D102" s="56" t="s">
        <v>9397</v>
      </c>
      <c r="E102" s="56"/>
      <c r="F102" s="56"/>
      <c r="G102" s="39"/>
      <c r="H102" s="56"/>
      <c r="I102" s="56" t="s">
        <v>9391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2521</v>
      </c>
      <c r="U102" s="56" t="s">
        <v>2521</v>
      </c>
      <c r="V102" s="56"/>
      <c r="W102" s="39" t="s">
        <v>9546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9690</v>
      </c>
      <c r="AL102" s="39" t="s">
        <v>9691</v>
      </c>
      <c r="AM102" s="39" t="s">
        <v>9692</v>
      </c>
      <c r="AN102" s="39" t="s">
        <v>9692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9693</v>
      </c>
      <c r="B103" s="56" t="s">
        <v>67</v>
      </c>
      <c r="C103" s="56" t="s">
        <v>63</v>
      </c>
      <c r="D103" s="56" t="s">
        <v>9397</v>
      </c>
      <c r="E103" s="56"/>
      <c r="F103" s="56"/>
      <c r="G103" s="39"/>
      <c r="H103" s="56"/>
      <c r="I103" s="56" t="s">
        <v>9391</v>
      </c>
      <c r="J103" s="56" t="s">
        <v>550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2521</v>
      </c>
      <c r="U103" s="56" t="s">
        <v>2521</v>
      </c>
      <c r="V103" s="56"/>
      <c r="W103" s="39" t="s">
        <v>9541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9650</v>
      </c>
      <c r="AL103" s="39" t="s">
        <v>9694</v>
      </c>
      <c r="AM103" s="39" t="s">
        <v>9695</v>
      </c>
      <c r="AN103" s="39" t="s">
        <v>9695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9696</v>
      </c>
      <c r="B104" s="56" t="s">
        <v>67</v>
      </c>
      <c r="C104" s="56" t="s">
        <v>63</v>
      </c>
      <c r="D104" s="56" t="s">
        <v>9397</v>
      </c>
      <c r="E104" s="56"/>
      <c r="F104" s="56"/>
      <c r="G104" s="39"/>
      <c r="H104" s="56"/>
      <c r="I104" s="56" t="s">
        <v>9391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2521</v>
      </c>
      <c r="U104" s="56" t="s">
        <v>2521</v>
      </c>
      <c r="V104" s="56"/>
      <c r="W104" s="39" t="s">
        <v>9587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9650</v>
      </c>
      <c r="AL104" s="39" t="s">
        <v>9694</v>
      </c>
      <c r="AM104" s="39" t="s">
        <v>9695</v>
      </c>
      <c r="AN104" s="39" t="s">
        <v>9695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9697</v>
      </c>
      <c r="B105" s="56" t="s">
        <v>67</v>
      </c>
      <c r="C105" s="56" t="s">
        <v>63</v>
      </c>
      <c r="D105" s="56" t="s">
        <v>9397</v>
      </c>
      <c r="E105" s="56"/>
      <c r="F105" s="56"/>
      <c r="G105" s="39"/>
      <c r="H105" s="56"/>
      <c r="I105" s="56" t="s">
        <v>9391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2521</v>
      </c>
      <c r="U105" s="56" t="s">
        <v>2521</v>
      </c>
      <c r="V105" s="56"/>
      <c r="W105" s="39" t="s">
        <v>9546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9650</v>
      </c>
      <c r="AL105" s="39" t="s">
        <v>9694</v>
      </c>
      <c r="AM105" s="39" t="s">
        <v>9695</v>
      </c>
      <c r="AN105" s="39" t="s">
        <v>9695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9698</v>
      </c>
      <c r="B106" s="56" t="s">
        <v>67</v>
      </c>
      <c r="C106" s="56" t="s">
        <v>63</v>
      </c>
      <c r="D106" s="56" t="s">
        <v>9397</v>
      </c>
      <c r="E106" s="56"/>
      <c r="F106" s="56"/>
      <c r="G106" s="39"/>
      <c r="H106" s="56"/>
      <c r="I106" s="56" t="s">
        <v>9391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2521</v>
      </c>
      <c r="U106" s="56" t="s">
        <v>2521</v>
      </c>
      <c r="V106" s="56"/>
      <c r="W106" s="39" t="s">
        <v>9546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9699</v>
      </c>
      <c r="AL106" s="39" t="s">
        <v>9700</v>
      </c>
      <c r="AM106" s="39" t="s">
        <v>9701</v>
      </c>
      <c r="AN106" s="39" t="s">
        <v>9701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9702</v>
      </c>
      <c r="B107" s="56" t="s">
        <v>67</v>
      </c>
      <c r="C107" s="56" t="s">
        <v>63</v>
      </c>
      <c r="D107" s="56" t="s">
        <v>9397</v>
      </c>
      <c r="E107" s="56"/>
      <c r="F107" s="56" t="s">
        <v>96</v>
      </c>
      <c r="G107" s="39"/>
      <c r="H107" s="56"/>
      <c r="I107" s="56" t="s">
        <v>9391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2521</v>
      </c>
      <c r="U107" s="56" t="s">
        <v>2521</v>
      </c>
      <c r="V107" s="56"/>
      <c r="W107" s="39" t="s">
        <v>9546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9668</v>
      </c>
      <c r="AL107" s="39" t="s">
        <v>9703</v>
      </c>
      <c r="AM107" s="39" t="s">
        <v>9704</v>
      </c>
      <c r="AN107" s="39" t="s">
        <v>9704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9705</v>
      </c>
      <c r="B108" s="56" t="s">
        <v>67</v>
      </c>
      <c r="C108" s="56" t="s">
        <v>63</v>
      </c>
      <c r="D108" s="56" t="s">
        <v>9397</v>
      </c>
      <c r="E108" s="56"/>
      <c r="F108" s="56" t="s">
        <v>96</v>
      </c>
      <c r="G108" s="39"/>
      <c r="H108" s="56"/>
      <c r="I108" s="56" t="s">
        <v>9391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2521</v>
      </c>
      <c r="U108" s="56" t="s">
        <v>2521</v>
      </c>
      <c r="V108" s="56"/>
      <c r="W108" s="39" t="s">
        <v>9546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9668</v>
      </c>
      <c r="AL108" s="39" t="s">
        <v>9703</v>
      </c>
      <c r="AM108" s="39" t="s">
        <v>9706</v>
      </c>
      <c r="AN108" s="39" t="s">
        <v>9706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9707</v>
      </c>
      <c r="B109" s="56" t="s">
        <v>67</v>
      </c>
      <c r="C109" s="56" t="s">
        <v>63</v>
      </c>
      <c r="D109" s="56" t="s">
        <v>9397</v>
      </c>
      <c r="E109" s="56"/>
      <c r="F109" s="56" t="s">
        <v>96</v>
      </c>
      <c r="G109" s="39"/>
      <c r="H109" s="56"/>
      <c r="I109" s="56" t="s">
        <v>9391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2521</v>
      </c>
      <c r="U109" s="56" t="s">
        <v>2521</v>
      </c>
      <c r="V109" s="56"/>
      <c r="W109" s="39" t="s">
        <v>9546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9668</v>
      </c>
      <c r="AL109" s="39" t="s">
        <v>9703</v>
      </c>
      <c r="AM109" s="39" t="s">
        <v>9706</v>
      </c>
      <c r="AN109" s="39" t="s">
        <v>9706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9708</v>
      </c>
      <c r="B110" s="56" t="s">
        <v>67</v>
      </c>
      <c r="C110" s="56" t="s">
        <v>63</v>
      </c>
      <c r="D110" s="56" t="s">
        <v>9397</v>
      </c>
      <c r="E110" s="56"/>
      <c r="F110" s="56" t="s">
        <v>96</v>
      </c>
      <c r="G110" s="39"/>
      <c r="H110" s="56"/>
      <c r="I110" s="56" t="s">
        <v>9391</v>
      </c>
      <c r="J110" s="56" t="s">
        <v>550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2521</v>
      </c>
      <c r="U110" s="56" t="s">
        <v>2521</v>
      </c>
      <c r="V110" s="56"/>
      <c r="W110" s="39" t="s">
        <v>9546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9709</v>
      </c>
      <c r="AL110" s="39">
        <v>46010175</v>
      </c>
      <c r="AM110" s="39" t="s">
        <v>9710</v>
      </c>
      <c r="AN110" s="39" t="s">
        <v>9710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9711</v>
      </c>
      <c r="B111" s="56" t="s">
        <v>67</v>
      </c>
      <c r="C111" s="56" t="s">
        <v>63</v>
      </c>
      <c r="D111" s="56" t="s">
        <v>9397</v>
      </c>
      <c r="E111" s="56"/>
      <c r="F111" s="56" t="s">
        <v>96</v>
      </c>
      <c r="G111" s="39"/>
      <c r="H111" s="56"/>
      <c r="I111" s="56" t="s">
        <v>9391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2521</v>
      </c>
      <c r="U111" s="56" t="s">
        <v>2521</v>
      </c>
      <c r="V111" s="56"/>
      <c r="W111" s="39" t="s">
        <v>9587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9709</v>
      </c>
      <c r="AL111" s="39" t="s">
        <v>9712</v>
      </c>
      <c r="AM111" s="39" t="s">
        <v>9713</v>
      </c>
      <c r="AN111" s="39" t="s">
        <v>9713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9714</v>
      </c>
      <c r="B112" s="56" t="s">
        <v>67</v>
      </c>
      <c r="C112" s="56" t="s">
        <v>63</v>
      </c>
      <c r="D112" s="56" t="s">
        <v>9397</v>
      </c>
      <c r="E112" s="56"/>
      <c r="F112" s="56" t="s">
        <v>96</v>
      </c>
      <c r="G112" s="39"/>
      <c r="H112" s="56"/>
      <c r="I112" s="56" t="s">
        <v>9391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2521</v>
      </c>
      <c r="U112" s="56" t="s">
        <v>2521</v>
      </c>
      <c r="V112" s="56"/>
      <c r="W112" s="39" t="s">
        <v>9546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9709</v>
      </c>
      <c r="AL112" s="39" t="s">
        <v>9712</v>
      </c>
      <c r="AM112" s="39" t="s">
        <v>9713</v>
      </c>
      <c r="AN112" s="39" t="s">
        <v>9715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9716</v>
      </c>
      <c r="B113" s="56" t="s">
        <v>67</v>
      </c>
      <c r="C113" s="56" t="s">
        <v>63</v>
      </c>
      <c r="D113" s="56" t="s">
        <v>9397</v>
      </c>
      <c r="E113" s="56"/>
      <c r="F113" s="56" t="s">
        <v>96</v>
      </c>
      <c r="G113" s="39"/>
      <c r="H113" s="56"/>
      <c r="I113" s="56" t="s">
        <v>9391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2521</v>
      </c>
      <c r="U113" s="56" t="s">
        <v>2521</v>
      </c>
      <c r="V113" s="56"/>
      <c r="W113" s="18" t="s">
        <v>9587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9717</v>
      </c>
      <c r="AL113" s="18" t="s">
        <v>9718</v>
      </c>
      <c r="AM113" s="18" t="s">
        <v>9719</v>
      </c>
      <c r="AN113" s="18" t="s">
        <v>9719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9720</v>
      </c>
      <c r="B114" s="56" t="s">
        <v>67</v>
      </c>
      <c r="C114" s="56" t="s">
        <v>63</v>
      </c>
      <c r="D114" s="56" t="s">
        <v>9397</v>
      </c>
      <c r="E114" s="56"/>
      <c r="F114" s="56" t="s">
        <v>96</v>
      </c>
      <c r="G114" s="39"/>
      <c r="H114" s="56"/>
      <c r="I114" s="56" t="s">
        <v>9391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2521</v>
      </c>
      <c r="U114" s="56" t="s">
        <v>2521</v>
      </c>
      <c r="V114" s="56"/>
      <c r="W114" s="39" t="s">
        <v>9546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9668</v>
      </c>
      <c r="AL114" s="39" t="s">
        <v>9721</v>
      </c>
      <c r="AM114" s="39" t="s">
        <v>9722</v>
      </c>
      <c r="AN114" s="39" t="s">
        <v>9723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9724</v>
      </c>
      <c r="B115" s="56" t="s">
        <v>67</v>
      </c>
      <c r="C115" s="56" t="s">
        <v>63</v>
      </c>
      <c r="D115" s="56" t="s">
        <v>9397</v>
      </c>
      <c r="E115" s="56"/>
      <c r="F115" s="56" t="s">
        <v>96</v>
      </c>
      <c r="G115" s="39"/>
      <c r="H115" s="56"/>
      <c r="I115" s="56" t="s">
        <v>9391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2521</v>
      </c>
      <c r="U115" s="56" t="s">
        <v>2521</v>
      </c>
      <c r="V115" s="56"/>
      <c r="W115" s="39" t="s">
        <v>9546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9668</v>
      </c>
      <c r="AL115" s="39" t="s">
        <v>9721</v>
      </c>
      <c r="AM115" s="39" t="s">
        <v>9722</v>
      </c>
      <c r="AN115" s="39" t="s">
        <v>9723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9725</v>
      </c>
      <c r="B116" s="56" t="s">
        <v>67</v>
      </c>
      <c r="C116" s="56" t="s">
        <v>63</v>
      </c>
      <c r="D116" s="56" t="s">
        <v>9397</v>
      </c>
      <c r="E116" s="56"/>
      <c r="F116" s="56" t="s">
        <v>96</v>
      </c>
      <c r="G116" s="39"/>
      <c r="H116" s="56"/>
      <c r="I116" s="56" t="s">
        <v>9391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2521</v>
      </c>
      <c r="U116" s="56" t="s">
        <v>2521</v>
      </c>
      <c r="V116" s="56"/>
      <c r="W116" s="39" t="s">
        <v>9546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9726</v>
      </c>
      <c r="AL116" s="39" t="s">
        <v>9727</v>
      </c>
      <c r="AM116" s="39" t="s">
        <v>9728</v>
      </c>
      <c r="AN116" s="39" t="s">
        <v>9728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9729</v>
      </c>
      <c r="B117" s="56" t="s">
        <v>67</v>
      </c>
      <c r="C117" s="56" t="s">
        <v>63</v>
      </c>
      <c r="D117" s="56" t="s">
        <v>9397</v>
      </c>
      <c r="E117" s="56"/>
      <c r="F117" s="56"/>
      <c r="G117" s="39"/>
      <c r="H117" s="56"/>
      <c r="I117" s="56" t="s">
        <v>9391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2521</v>
      </c>
      <c r="U117" s="56" t="s">
        <v>2521</v>
      </c>
      <c r="V117" s="56"/>
      <c r="W117" s="39" t="s">
        <v>9546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9730</v>
      </c>
      <c r="AL117" s="39" t="s">
        <v>9731</v>
      </c>
      <c r="AM117" s="39" t="s">
        <v>9732</v>
      </c>
      <c r="AN117" s="39" t="s">
        <v>9732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9733</v>
      </c>
      <c r="B118" s="56" t="s">
        <v>67</v>
      </c>
      <c r="C118" s="56" t="s">
        <v>63</v>
      </c>
      <c r="D118" s="56" t="s">
        <v>9397</v>
      </c>
      <c r="E118" s="56"/>
      <c r="F118" s="56" t="s">
        <v>96</v>
      </c>
      <c r="G118" s="39"/>
      <c r="H118" s="56"/>
      <c r="I118" s="56" t="s">
        <v>9391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2521</v>
      </c>
      <c r="U118" s="56" t="s">
        <v>2521</v>
      </c>
      <c r="V118" s="56"/>
      <c r="W118" s="39" t="s">
        <v>9546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9734</v>
      </c>
      <c r="AL118" s="39" t="s">
        <v>9735</v>
      </c>
      <c r="AM118" s="39" t="s">
        <v>9736</v>
      </c>
      <c r="AN118" s="39" t="s">
        <v>9736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9737</v>
      </c>
      <c r="B119" s="56" t="s">
        <v>67</v>
      </c>
      <c r="C119" s="56" t="s">
        <v>63</v>
      </c>
      <c r="D119" s="56" t="s">
        <v>9397</v>
      </c>
      <c r="E119" s="56"/>
      <c r="F119" s="56" t="s">
        <v>96</v>
      </c>
      <c r="G119" s="39"/>
      <c r="H119" s="56"/>
      <c r="I119" s="56" t="s">
        <v>9391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2521</v>
      </c>
      <c r="U119" s="56" t="s">
        <v>2521</v>
      </c>
      <c r="V119" s="56"/>
      <c r="W119" s="39" t="s">
        <v>9546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9726</v>
      </c>
      <c r="AL119" s="39" t="s">
        <v>9738</v>
      </c>
      <c r="AM119" s="39" t="s">
        <v>9739</v>
      </c>
      <c r="AN119" s="39" t="s">
        <v>9740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9741</v>
      </c>
      <c r="B120" s="56" t="s">
        <v>67</v>
      </c>
      <c r="C120" s="56" t="s">
        <v>63</v>
      </c>
      <c r="D120" s="56" t="s">
        <v>9397</v>
      </c>
      <c r="E120" s="56"/>
      <c r="F120" s="56" t="s">
        <v>96</v>
      </c>
      <c r="G120" s="39"/>
      <c r="H120" s="56"/>
      <c r="I120" s="56" t="s">
        <v>9391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2521</v>
      </c>
      <c r="U120" s="56" t="s">
        <v>2521</v>
      </c>
      <c r="V120" s="56"/>
      <c r="W120" s="39" t="s">
        <v>9546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9726</v>
      </c>
      <c r="AL120" s="39" t="s">
        <v>9738</v>
      </c>
      <c r="AM120" s="39" t="s">
        <v>9739</v>
      </c>
      <c r="AN120" s="39" t="s">
        <v>9739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9742</v>
      </c>
      <c r="B121" s="56" t="s">
        <v>67</v>
      </c>
      <c r="C121" s="56" t="s">
        <v>63</v>
      </c>
      <c r="D121" s="56" t="s">
        <v>9397</v>
      </c>
      <c r="E121" s="56"/>
      <c r="F121" s="56" t="s">
        <v>96</v>
      </c>
      <c r="G121" s="39"/>
      <c r="H121" s="56"/>
      <c r="I121" s="56" t="s">
        <v>9391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2521</v>
      </c>
      <c r="U121" s="56" t="s">
        <v>2521</v>
      </c>
      <c r="V121" s="56"/>
      <c r="W121" s="39" t="s">
        <v>9546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9726</v>
      </c>
      <c r="AL121" s="39" t="s">
        <v>9738</v>
      </c>
      <c r="AM121" s="39" t="s">
        <v>9739</v>
      </c>
      <c r="AN121" s="39" t="s">
        <v>9739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9743</v>
      </c>
      <c r="B122" s="56" t="s">
        <v>67</v>
      </c>
      <c r="C122" s="56" t="s">
        <v>63</v>
      </c>
      <c r="D122" s="56" t="s">
        <v>9397</v>
      </c>
      <c r="E122" s="56"/>
      <c r="F122" s="56" t="s">
        <v>96</v>
      </c>
      <c r="G122" s="39"/>
      <c r="H122" s="56"/>
      <c r="I122" s="56" t="s">
        <v>9391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2521</v>
      </c>
      <c r="U122" s="56" t="s">
        <v>2521</v>
      </c>
      <c r="V122" s="56"/>
      <c r="W122" s="39" t="s">
        <v>9587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9744</v>
      </c>
      <c r="AL122" s="39" t="s">
        <v>9745</v>
      </c>
      <c r="AM122" s="39" t="s">
        <v>9746</v>
      </c>
      <c r="AN122" s="39" t="s">
        <v>9746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9747</v>
      </c>
      <c r="B123" s="56" t="s">
        <v>67</v>
      </c>
      <c r="C123" s="56" t="s">
        <v>63</v>
      </c>
      <c r="D123" s="56" t="s">
        <v>9397</v>
      </c>
      <c r="E123" s="56"/>
      <c r="F123" s="56" t="s">
        <v>96</v>
      </c>
      <c r="G123" s="39"/>
      <c r="H123" s="56"/>
      <c r="I123" s="56" t="s">
        <v>9391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2521</v>
      </c>
      <c r="U123" s="56" t="s">
        <v>2521</v>
      </c>
      <c r="V123" s="56"/>
      <c r="W123" s="18" t="s">
        <v>9546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9748</v>
      </c>
      <c r="AL123" s="18" t="s">
        <v>9749</v>
      </c>
      <c r="AM123" s="18" t="s">
        <v>9750</v>
      </c>
      <c r="AN123" s="18" t="s">
        <v>9750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9751</v>
      </c>
      <c r="B124" s="56" t="s">
        <v>67</v>
      </c>
      <c r="C124" s="56" t="s">
        <v>63</v>
      </c>
      <c r="D124" s="56" t="s">
        <v>9397</v>
      </c>
      <c r="E124" s="56"/>
      <c r="F124" s="56"/>
      <c r="G124" s="39"/>
      <c r="H124" s="56"/>
      <c r="I124" s="56" t="s">
        <v>9391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2521</v>
      </c>
      <c r="U124" s="56" t="s">
        <v>2521</v>
      </c>
      <c r="V124" s="56"/>
      <c r="W124" s="39" t="s">
        <v>9546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9752</v>
      </c>
      <c r="AL124" s="39" t="s">
        <v>9753</v>
      </c>
      <c r="AM124" s="39" t="s">
        <v>9754</v>
      </c>
      <c r="AN124" s="39">
        <v>252585338</v>
      </c>
      <c r="AO124" s="75">
        <f t="shared" si="7"/>
        <v>41</v>
      </c>
      <c r="AP124" s="39" t="s">
        <v>9755</v>
      </c>
      <c r="AQ124" s="75" t="s">
        <v>2534</v>
      </c>
    </row>
    <row r="125" spans="1:43" s="6" customFormat="1" ht="11.5">
      <c r="A125" s="74" t="s">
        <v>9756</v>
      </c>
      <c r="B125" s="56" t="s">
        <v>67</v>
      </c>
      <c r="C125" s="56" t="s">
        <v>63</v>
      </c>
      <c r="D125" s="56" t="s">
        <v>9397</v>
      </c>
      <c r="E125" s="56"/>
      <c r="F125" s="56" t="s">
        <v>96</v>
      </c>
      <c r="G125" s="39"/>
      <c r="H125" s="56"/>
      <c r="I125" s="56" t="s">
        <v>9391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2521</v>
      </c>
      <c r="U125" s="56" t="s">
        <v>2521</v>
      </c>
      <c r="V125" s="56"/>
      <c r="W125" s="18" t="s">
        <v>9546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9748</v>
      </c>
      <c r="AL125" s="18" t="s">
        <v>9749</v>
      </c>
      <c r="AM125" s="18" t="s">
        <v>9750</v>
      </c>
      <c r="AN125" s="18" t="s">
        <v>9757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9758</v>
      </c>
      <c r="B126" s="56" t="s">
        <v>67</v>
      </c>
      <c r="C126" s="56" t="s">
        <v>63</v>
      </c>
      <c r="D126" s="56" t="s">
        <v>9397</v>
      </c>
      <c r="E126" s="56"/>
      <c r="F126" s="56" t="s">
        <v>96</v>
      </c>
      <c r="G126" s="39"/>
      <c r="H126" s="56"/>
      <c r="I126" s="56" t="s">
        <v>9391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2521</v>
      </c>
      <c r="U126" s="56" t="s">
        <v>2521</v>
      </c>
      <c r="V126" s="56"/>
      <c r="W126" s="18" t="s">
        <v>9587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9726</v>
      </c>
      <c r="AL126" s="39" t="s">
        <v>9759</v>
      </c>
      <c r="AM126" s="39" t="s">
        <v>9760</v>
      </c>
      <c r="AN126" s="39" t="s">
        <v>9760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9761</v>
      </c>
      <c r="B127" s="56" t="s">
        <v>67</v>
      </c>
      <c r="C127" s="56" t="s">
        <v>63</v>
      </c>
      <c r="D127" s="56" t="s">
        <v>9397</v>
      </c>
      <c r="E127" s="56"/>
      <c r="F127" s="56" t="s">
        <v>96</v>
      </c>
      <c r="G127" s="39"/>
      <c r="H127" s="56"/>
      <c r="I127" s="56" t="s">
        <v>9391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2521</v>
      </c>
      <c r="U127" s="56" t="s">
        <v>2521</v>
      </c>
      <c r="V127" s="56"/>
      <c r="W127" s="18" t="s">
        <v>9587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9762</v>
      </c>
      <c r="AL127" s="39" t="s">
        <v>9763</v>
      </c>
      <c r="AM127" s="39" t="s">
        <v>9764</v>
      </c>
      <c r="AN127" s="39" t="s">
        <v>9765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9766</v>
      </c>
      <c r="B128" s="56" t="s">
        <v>67</v>
      </c>
      <c r="C128" s="56" t="s">
        <v>63</v>
      </c>
      <c r="D128" s="56" t="s">
        <v>9397</v>
      </c>
      <c r="E128" s="56"/>
      <c r="F128" s="56" t="s">
        <v>96</v>
      </c>
      <c r="G128" s="39"/>
      <c r="H128" s="56"/>
      <c r="I128" s="56" t="s">
        <v>9391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2521</v>
      </c>
      <c r="U128" s="56" t="s">
        <v>2521</v>
      </c>
      <c r="V128" s="56"/>
      <c r="W128" s="18" t="s">
        <v>9587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9762</v>
      </c>
      <c r="AL128" s="39" t="s">
        <v>9763</v>
      </c>
      <c r="AM128" s="39" t="s">
        <v>9764</v>
      </c>
      <c r="AN128" s="39" t="s">
        <v>9765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9767</v>
      </c>
      <c r="B129" s="56" t="s">
        <v>67</v>
      </c>
      <c r="C129" s="56" t="s">
        <v>63</v>
      </c>
      <c r="D129" s="56" t="s">
        <v>9397</v>
      </c>
      <c r="E129" s="56"/>
      <c r="F129" s="56" t="s">
        <v>96</v>
      </c>
      <c r="G129" s="39"/>
      <c r="H129" s="56"/>
      <c r="I129" s="56" t="s">
        <v>9391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2521</v>
      </c>
      <c r="U129" s="56" t="s">
        <v>2521</v>
      </c>
      <c r="V129" s="56"/>
      <c r="W129" s="18" t="s">
        <v>9546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9726</v>
      </c>
      <c r="AL129" s="39" t="s">
        <v>9759</v>
      </c>
      <c r="AM129" s="39" t="s">
        <v>9760</v>
      </c>
      <c r="AN129" s="39" t="s">
        <v>9760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9768</v>
      </c>
      <c r="B130" s="56" t="s">
        <v>67</v>
      </c>
      <c r="C130" s="56" t="s">
        <v>63</v>
      </c>
      <c r="D130" s="56" t="s">
        <v>9397</v>
      </c>
      <c r="E130" s="56"/>
      <c r="F130" s="56" t="s">
        <v>96</v>
      </c>
      <c r="G130" s="39"/>
      <c r="H130" s="56"/>
      <c r="I130" s="56" t="s">
        <v>9391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2521</v>
      </c>
      <c r="U130" s="56" t="s">
        <v>2521</v>
      </c>
      <c r="V130" s="56"/>
      <c r="W130" s="18" t="s">
        <v>9587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9769</v>
      </c>
      <c r="AL130" s="39" t="s">
        <v>9770</v>
      </c>
      <c r="AM130" s="39" t="s">
        <v>9771</v>
      </c>
      <c r="AN130" s="39" t="s">
        <v>9771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9772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2706</v>
      </c>
      <c r="G131" s="39"/>
      <c r="H131" s="56"/>
      <c r="I131" s="82" t="s">
        <v>9391</v>
      </c>
      <c r="J131" s="56" t="s">
        <v>550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2521</v>
      </c>
      <c r="U131" s="56" t="s">
        <v>2521</v>
      </c>
      <c r="V131" s="56"/>
      <c r="W131" s="18" t="s">
        <v>9546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9773</v>
      </c>
      <c r="AL131" s="39" t="s">
        <v>9774</v>
      </c>
      <c r="AM131" s="39" t="s">
        <v>9775</v>
      </c>
      <c r="AN131" s="39" t="s">
        <v>9775</v>
      </c>
      <c r="AO131" s="91">
        <f t="shared" si="7"/>
        <v>48</v>
      </c>
      <c r="AP131" s="18" t="s">
        <v>9776</v>
      </c>
      <c r="AQ131" s="91" t="s">
        <v>2534</v>
      </c>
    </row>
    <row r="132" spans="1:43" s="6" customFormat="1" ht="11.5">
      <c r="A132" s="74" t="s">
        <v>9777</v>
      </c>
      <c r="B132" s="56" t="s">
        <v>67</v>
      </c>
      <c r="C132" s="56" t="s">
        <v>63</v>
      </c>
      <c r="D132" s="56" t="s">
        <v>9397</v>
      </c>
      <c r="E132" s="56"/>
      <c r="F132" s="56" t="s">
        <v>96</v>
      </c>
      <c r="G132" s="39"/>
      <c r="H132" s="56"/>
      <c r="I132" s="56" t="s">
        <v>9391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2521</v>
      </c>
      <c r="U132" s="56" t="s">
        <v>2521</v>
      </c>
      <c r="V132" s="56"/>
      <c r="W132" s="18" t="s">
        <v>9546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9748</v>
      </c>
      <c r="AL132" s="39" t="s">
        <v>9778</v>
      </c>
      <c r="AM132" s="39" t="s">
        <v>9779</v>
      </c>
      <c r="AN132" s="39" t="s">
        <v>9780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9781</v>
      </c>
      <c r="B133" s="56" t="s">
        <v>67</v>
      </c>
      <c r="C133" s="56" t="s">
        <v>63</v>
      </c>
      <c r="D133" s="56" t="s">
        <v>9397</v>
      </c>
      <c r="E133" s="56"/>
      <c r="F133" s="56" t="s">
        <v>96</v>
      </c>
      <c r="G133" s="39"/>
      <c r="H133" s="56"/>
      <c r="I133" s="56" t="s">
        <v>9391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2521</v>
      </c>
      <c r="U133" s="56" t="s">
        <v>2521</v>
      </c>
      <c r="V133" s="56"/>
      <c r="W133" s="18" t="s">
        <v>9587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9769</v>
      </c>
      <c r="AL133" s="39" t="s">
        <v>9782</v>
      </c>
      <c r="AM133" s="39" t="s">
        <v>9783</v>
      </c>
      <c r="AN133" s="39" t="s">
        <v>9783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9784</v>
      </c>
      <c r="B134" s="56" t="s">
        <v>67</v>
      </c>
      <c r="C134" s="56" t="s">
        <v>63</v>
      </c>
      <c r="D134" s="56" t="s">
        <v>9397</v>
      </c>
      <c r="E134" s="56"/>
      <c r="F134" s="56" t="s">
        <v>96</v>
      </c>
      <c r="G134" s="39"/>
      <c r="H134" s="56"/>
      <c r="I134" s="56" t="s">
        <v>9391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2521</v>
      </c>
      <c r="U134" s="56" t="s">
        <v>2521</v>
      </c>
      <c r="V134" s="56"/>
      <c r="W134" s="18" t="s">
        <v>9546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9785</v>
      </c>
      <c r="AL134" s="39" t="s">
        <v>9786</v>
      </c>
      <c r="AM134" s="39" t="s">
        <v>9787</v>
      </c>
      <c r="AN134" s="39" t="s">
        <v>9787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9788</v>
      </c>
      <c r="B135" s="56" t="s">
        <v>67</v>
      </c>
      <c r="C135" s="56" t="s">
        <v>63</v>
      </c>
      <c r="D135" s="56" t="s">
        <v>9397</v>
      </c>
      <c r="E135" s="56"/>
      <c r="F135" s="56" t="s">
        <v>96</v>
      </c>
      <c r="G135" s="39"/>
      <c r="H135" s="56"/>
      <c r="I135" s="56" t="s">
        <v>9391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2521</v>
      </c>
      <c r="U135" s="56" t="s">
        <v>2521</v>
      </c>
      <c r="V135" s="56"/>
      <c r="W135" s="18" t="s">
        <v>9789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9790</v>
      </c>
      <c r="AL135" s="39" t="s">
        <v>9791</v>
      </c>
      <c r="AM135" s="39" t="s">
        <v>9792</v>
      </c>
      <c r="AN135" s="39" t="s">
        <v>9792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9793</v>
      </c>
      <c r="B136" s="56" t="s">
        <v>67</v>
      </c>
      <c r="C136" s="56" t="s">
        <v>63</v>
      </c>
      <c r="D136" s="56" t="s">
        <v>9397</v>
      </c>
      <c r="E136" s="56"/>
      <c r="F136" s="56" t="s">
        <v>96</v>
      </c>
      <c r="G136" s="39"/>
      <c r="H136" s="56"/>
      <c r="I136" s="56" t="s">
        <v>9391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2521</v>
      </c>
      <c r="U136" s="56" t="s">
        <v>2521</v>
      </c>
      <c r="V136" s="56"/>
      <c r="W136" s="18" t="s">
        <v>9587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9769</v>
      </c>
      <c r="AL136" s="39" t="s">
        <v>9794</v>
      </c>
      <c r="AM136" s="39" t="s">
        <v>9795</v>
      </c>
      <c r="AN136" s="39" t="s">
        <v>9795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9796</v>
      </c>
      <c r="B137" s="122" t="s">
        <v>67</v>
      </c>
      <c r="C137" s="122" t="s">
        <v>63</v>
      </c>
      <c r="D137" s="122" t="s">
        <v>9397</v>
      </c>
      <c r="E137" s="122"/>
      <c r="F137" s="56" t="s">
        <v>96</v>
      </c>
      <c r="G137" s="39"/>
      <c r="H137" s="56"/>
      <c r="I137" s="56" t="s">
        <v>9391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2521</v>
      </c>
      <c r="U137" s="56" t="s">
        <v>2521</v>
      </c>
      <c r="V137" s="56"/>
      <c r="W137" s="18" t="s">
        <v>9789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9797</v>
      </c>
      <c r="AL137" s="39" t="s">
        <v>9798</v>
      </c>
      <c r="AM137" s="39" t="s">
        <v>9799</v>
      </c>
      <c r="AN137" s="39" t="s">
        <v>9799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9800</v>
      </c>
      <c r="B138" s="39" t="s">
        <v>67</v>
      </c>
      <c r="C138" s="39" t="s">
        <v>63</v>
      </c>
      <c r="D138" s="39" t="s">
        <v>9397</v>
      </c>
      <c r="E138" s="39"/>
      <c r="F138" s="56" t="s">
        <v>96</v>
      </c>
      <c r="G138" s="39"/>
      <c r="H138" s="56"/>
      <c r="I138" s="56" t="s">
        <v>9391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2521</v>
      </c>
      <c r="U138" s="56" t="s">
        <v>2521</v>
      </c>
      <c r="V138" s="56"/>
      <c r="W138" s="125" t="s">
        <v>9789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9801</v>
      </c>
      <c r="AL138" s="39" t="s">
        <v>9802</v>
      </c>
      <c r="AM138" s="39" t="s">
        <v>9803</v>
      </c>
      <c r="AN138" s="39" t="s">
        <v>9803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9804</v>
      </c>
      <c r="B139" s="56" t="s">
        <v>67</v>
      </c>
      <c r="C139" s="56" t="s">
        <v>63</v>
      </c>
      <c r="D139" s="56" t="s">
        <v>9397</v>
      </c>
      <c r="E139" s="56"/>
      <c r="F139" s="56" t="s">
        <v>96</v>
      </c>
      <c r="G139" s="39"/>
      <c r="H139" s="56"/>
      <c r="I139" s="56" t="s">
        <v>9391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2521</v>
      </c>
      <c r="U139" s="56" t="s">
        <v>2521</v>
      </c>
      <c r="V139" s="56"/>
      <c r="W139" s="39" t="s">
        <v>9789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9805</v>
      </c>
      <c r="AL139" s="39" t="s">
        <v>9806</v>
      </c>
      <c r="AM139" s="39" t="s">
        <v>9807</v>
      </c>
      <c r="AN139" s="39" t="s">
        <v>9807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9808</v>
      </c>
      <c r="B140" s="56" t="s">
        <v>67</v>
      </c>
      <c r="C140" s="56" t="s">
        <v>63</v>
      </c>
      <c r="D140" s="56" t="s">
        <v>9397</v>
      </c>
      <c r="E140" s="56"/>
      <c r="F140" s="56" t="s">
        <v>96</v>
      </c>
      <c r="G140" s="39"/>
      <c r="H140" s="56"/>
      <c r="I140" s="56" t="s">
        <v>9391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2521</v>
      </c>
      <c r="U140" s="56" t="s">
        <v>2521</v>
      </c>
      <c r="V140" s="56"/>
      <c r="W140" s="39" t="s">
        <v>9789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9797</v>
      </c>
      <c r="AL140" s="39" t="s">
        <v>9809</v>
      </c>
      <c r="AM140" s="39" t="s">
        <v>9810</v>
      </c>
      <c r="AN140" s="39" t="s">
        <v>9810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9811</v>
      </c>
      <c r="B141" s="56" t="s">
        <v>67</v>
      </c>
      <c r="C141" s="56" t="s">
        <v>63</v>
      </c>
      <c r="D141" s="56" t="s">
        <v>9397</v>
      </c>
      <c r="E141" s="56"/>
      <c r="F141" s="56"/>
      <c r="G141" s="39"/>
      <c r="H141" s="56"/>
      <c r="I141" s="56" t="s">
        <v>9391</v>
      </c>
      <c r="J141" s="56" t="s">
        <v>550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2521</v>
      </c>
      <c r="U141" s="56" t="s">
        <v>2521</v>
      </c>
      <c r="V141" s="56"/>
      <c r="W141" s="39" t="s">
        <v>9546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9785</v>
      </c>
      <c r="AL141" s="39">
        <v>46010504</v>
      </c>
      <c r="AM141" s="39" t="s">
        <v>9812</v>
      </c>
      <c r="AN141" s="39" t="s">
        <v>9812</v>
      </c>
      <c r="AO141" s="75">
        <f t="shared" si="10"/>
        <v>51</v>
      </c>
      <c r="AP141" s="39" t="s">
        <v>9776</v>
      </c>
      <c r="AQ141" s="75" t="s">
        <v>2534</v>
      </c>
    </row>
    <row r="142" spans="1:43" s="6" customFormat="1" ht="11.5" hidden="1">
      <c r="A142" s="124" t="s">
        <v>9813</v>
      </c>
      <c r="B142" s="39" t="s">
        <v>67</v>
      </c>
      <c r="C142" s="39" t="s">
        <v>63</v>
      </c>
      <c r="D142" s="39" t="s">
        <v>9397</v>
      </c>
      <c r="E142" s="39"/>
      <c r="F142" s="79" t="s">
        <v>2529</v>
      </c>
      <c r="G142" s="39"/>
      <c r="H142" s="39"/>
      <c r="I142" s="82" t="s">
        <v>9391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2521</v>
      </c>
      <c r="U142" s="56" t="s">
        <v>2521</v>
      </c>
      <c r="V142" s="56"/>
      <c r="W142" s="126" t="s">
        <v>9789</v>
      </c>
      <c r="X142" s="1244">
        <v>45789</v>
      </c>
      <c r="Y142" s="90"/>
      <c r="Z142" s="90"/>
      <c r="AA142" s="119">
        <v>371008528</v>
      </c>
      <c r="AB142" s="79" t="s">
        <v>122</v>
      </c>
      <c r="AC142" s="1245" t="s">
        <v>159</v>
      </c>
      <c r="AD142" s="1244">
        <v>45794</v>
      </c>
      <c r="AE142" s="1244">
        <v>45794</v>
      </c>
      <c r="AF142" s="1244">
        <v>45794</v>
      </c>
      <c r="AG142" s="1244">
        <v>45843</v>
      </c>
      <c r="AH142" s="1244">
        <v>45843</v>
      </c>
      <c r="AI142" s="1244">
        <v>45843</v>
      </c>
      <c r="AJ142" s="1246" t="s">
        <v>146</v>
      </c>
      <c r="AK142" s="1247" t="s">
        <v>9814</v>
      </c>
      <c r="AL142" s="39">
        <v>46010580</v>
      </c>
      <c r="AM142" s="1247" t="s">
        <v>9815</v>
      </c>
      <c r="AN142" s="1247" t="s">
        <v>9816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248" t="s">
        <v>9817</v>
      </c>
      <c r="B143" s="1248" t="s">
        <v>67</v>
      </c>
      <c r="C143" s="1248" t="s">
        <v>63</v>
      </c>
      <c r="D143" s="1248" t="s">
        <v>9397</v>
      </c>
      <c r="E143" s="1248"/>
      <c r="F143" s="118"/>
      <c r="G143" s="39"/>
      <c r="H143" s="56"/>
      <c r="I143" s="56" t="s">
        <v>9391</v>
      </c>
      <c r="J143" s="118" t="s">
        <v>550</v>
      </c>
      <c r="K143" s="1249">
        <v>553120</v>
      </c>
      <c r="L143" s="1248" t="s">
        <v>2741</v>
      </c>
      <c r="M143" s="1250">
        <v>500</v>
      </c>
      <c r="N143" s="125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48"/>
      <c r="T143" s="56" t="s">
        <v>2521</v>
      </c>
      <c r="U143" s="56" t="s">
        <v>2521</v>
      </c>
      <c r="V143" s="56"/>
      <c r="W143" s="1247" t="s">
        <v>9546</v>
      </c>
      <c r="X143" s="1244">
        <v>45786</v>
      </c>
      <c r="Y143" s="78"/>
      <c r="Z143" s="78"/>
      <c r="AA143" s="127">
        <v>371008492</v>
      </c>
      <c r="AB143" s="79" t="s">
        <v>122</v>
      </c>
      <c r="AC143" s="125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46" t="s">
        <v>146</v>
      </c>
      <c r="AK143" s="1247" t="s">
        <v>9797</v>
      </c>
      <c r="AL143" s="39">
        <v>46010565</v>
      </c>
      <c r="AM143" s="1247" t="s">
        <v>9818</v>
      </c>
      <c r="AN143" s="1082" t="s">
        <v>9818</v>
      </c>
      <c r="AO143" s="75">
        <f t="shared" si="10"/>
        <v>61</v>
      </c>
      <c r="AP143" s="39" t="s">
        <v>9776</v>
      </c>
      <c r="AQ143" s="75" t="s">
        <v>2534</v>
      </c>
    </row>
    <row r="144" spans="1:43" s="6" customFormat="1" ht="11.5" hidden="1">
      <c r="A144" s="74" t="s">
        <v>9819</v>
      </c>
      <c r="B144" s="56" t="s">
        <v>67</v>
      </c>
      <c r="C144" s="56" t="s">
        <v>63</v>
      </c>
      <c r="D144" s="56" t="s">
        <v>9397</v>
      </c>
      <c r="E144" s="56"/>
      <c r="F144" s="118" t="s">
        <v>96</v>
      </c>
      <c r="G144" s="39"/>
      <c r="H144" s="56"/>
      <c r="I144" s="56" t="s">
        <v>9391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2521</v>
      </c>
      <c r="U144" s="56" t="s">
        <v>2521</v>
      </c>
      <c r="V144" s="56"/>
      <c r="W144" s="39" t="s">
        <v>9546</v>
      </c>
      <c r="X144" s="1244">
        <v>45786</v>
      </c>
      <c r="Y144" s="78"/>
      <c r="Z144" s="78"/>
      <c r="AA144" s="119">
        <v>371008475</v>
      </c>
      <c r="AB144" s="79" t="s">
        <v>122</v>
      </c>
      <c r="AC144" s="1251" t="s">
        <v>78</v>
      </c>
      <c r="AD144" s="1244">
        <v>45792</v>
      </c>
      <c r="AE144" s="1244">
        <v>45792</v>
      </c>
      <c r="AF144" s="1244">
        <v>45792</v>
      </c>
      <c r="AG144" s="90">
        <v>45852</v>
      </c>
      <c r="AH144" s="90">
        <v>45852</v>
      </c>
      <c r="AI144" s="90">
        <v>45852</v>
      </c>
      <c r="AJ144" s="1250" t="s">
        <v>66</v>
      </c>
      <c r="AK144" s="1247" t="s">
        <v>9797</v>
      </c>
      <c r="AL144" s="39" t="s">
        <v>9820</v>
      </c>
      <c r="AM144" s="1247" t="s">
        <v>9821</v>
      </c>
      <c r="AN144" s="128" t="s">
        <v>9821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247" t="s">
        <v>9822</v>
      </c>
      <c r="B145" s="1248" t="s">
        <v>67</v>
      </c>
      <c r="C145" s="1248" t="s">
        <v>63</v>
      </c>
      <c r="D145" s="1248" t="s">
        <v>9397</v>
      </c>
      <c r="E145" s="1248"/>
      <c r="F145" s="118" t="s">
        <v>96</v>
      </c>
      <c r="G145" s="39"/>
      <c r="H145" s="56"/>
      <c r="I145" s="56" t="s">
        <v>9391</v>
      </c>
      <c r="J145" s="118" t="s">
        <v>170</v>
      </c>
      <c r="K145" s="1249">
        <v>552026</v>
      </c>
      <c r="L145" s="1248" t="s">
        <v>463</v>
      </c>
      <c r="M145" s="1250">
        <v>550</v>
      </c>
      <c r="N145" s="125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48"/>
      <c r="T145" s="56" t="s">
        <v>2521</v>
      </c>
      <c r="U145" s="56" t="s">
        <v>2521</v>
      </c>
      <c r="V145" s="56"/>
      <c r="W145" s="1247" t="s">
        <v>9789</v>
      </c>
      <c r="X145" s="1244">
        <v>45792</v>
      </c>
      <c r="Y145" s="90"/>
      <c r="Z145" s="90"/>
      <c r="AA145" s="121">
        <v>371008513</v>
      </c>
      <c r="AB145" s="79" t="s">
        <v>122</v>
      </c>
      <c r="AC145" s="1245" t="s">
        <v>314</v>
      </c>
      <c r="AD145" s="1244">
        <v>45798</v>
      </c>
      <c r="AE145" s="1244">
        <v>45798</v>
      </c>
      <c r="AF145" s="1244">
        <v>45798</v>
      </c>
      <c r="AG145" s="1244">
        <v>45849</v>
      </c>
      <c r="AH145" s="1244">
        <v>45849</v>
      </c>
      <c r="AI145" s="1244">
        <v>45849</v>
      </c>
      <c r="AJ145" s="1250" t="s">
        <v>66</v>
      </c>
      <c r="AK145" s="1247" t="s">
        <v>9823</v>
      </c>
      <c r="AL145" s="39" t="s">
        <v>9824</v>
      </c>
      <c r="AM145" s="1247">
        <v>253719696</v>
      </c>
      <c r="AN145" s="1247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9825</v>
      </c>
      <c r="B146" s="39" t="s">
        <v>67</v>
      </c>
      <c r="C146" s="39" t="s">
        <v>63</v>
      </c>
      <c r="D146" s="39" t="s">
        <v>9397</v>
      </c>
      <c r="E146" s="39"/>
      <c r="F146" s="118" t="s">
        <v>96</v>
      </c>
      <c r="G146" s="79"/>
      <c r="H146" s="118"/>
      <c r="I146" s="118" t="s">
        <v>9391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2521</v>
      </c>
      <c r="U146" s="56" t="s">
        <v>2521</v>
      </c>
      <c r="V146" s="56"/>
      <c r="W146" s="126" t="s">
        <v>9789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50" t="s">
        <v>66</v>
      </c>
      <c r="AK146" s="1247" t="s">
        <v>9823</v>
      </c>
      <c r="AL146" s="39" t="s">
        <v>9824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9826</v>
      </c>
      <c r="B147" s="39" t="s">
        <v>67</v>
      </c>
      <c r="C147" s="39" t="s">
        <v>63</v>
      </c>
      <c r="D147" s="39" t="s">
        <v>9397</v>
      </c>
      <c r="E147" s="39"/>
      <c r="F147" s="118" t="s">
        <v>96</v>
      </c>
      <c r="G147" s="39"/>
      <c r="H147" s="56"/>
      <c r="I147" s="56" t="s">
        <v>9391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2521</v>
      </c>
      <c r="U147" s="56" t="s">
        <v>2521</v>
      </c>
      <c r="V147" s="56"/>
      <c r="W147" s="126" t="s">
        <v>9789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45" t="s">
        <v>124</v>
      </c>
      <c r="AD147" s="78">
        <v>45809</v>
      </c>
      <c r="AE147" s="78">
        <v>45809</v>
      </c>
      <c r="AF147" s="78">
        <v>45809</v>
      </c>
      <c r="AG147" s="1244">
        <v>45851</v>
      </c>
      <c r="AH147" s="1244">
        <v>45851</v>
      </c>
      <c r="AI147" s="1244">
        <v>45851</v>
      </c>
      <c r="AJ147" s="1250" t="s">
        <v>66</v>
      </c>
      <c r="AK147" s="1247" t="s">
        <v>9827</v>
      </c>
      <c r="AL147" s="39" t="s">
        <v>9828</v>
      </c>
      <c r="AM147" s="1247" t="s">
        <v>9829</v>
      </c>
      <c r="AN147" s="1247" t="s">
        <v>9829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247" t="s">
        <v>9830</v>
      </c>
      <c r="B148" s="1248" t="s">
        <v>67</v>
      </c>
      <c r="C148" s="1248" t="s">
        <v>63</v>
      </c>
      <c r="D148" s="1248" t="s">
        <v>66</v>
      </c>
      <c r="E148" s="1248" t="s">
        <v>111</v>
      </c>
      <c r="F148" s="118" t="s">
        <v>2697</v>
      </c>
      <c r="G148" s="39"/>
      <c r="H148" s="56"/>
      <c r="I148" s="56" t="s">
        <v>9831</v>
      </c>
      <c r="J148" s="118" t="s">
        <v>9832</v>
      </c>
      <c r="K148" s="1249">
        <v>554471</v>
      </c>
      <c r="L148" s="1252" t="s">
        <v>1348</v>
      </c>
      <c r="M148" s="1253">
        <v>710</v>
      </c>
      <c r="N148" s="125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54"/>
      <c r="T148" s="56" t="s">
        <v>2699</v>
      </c>
      <c r="U148" s="132" t="s">
        <v>9833</v>
      </c>
      <c r="V148" s="133"/>
      <c r="W148" s="1255" t="s">
        <v>9834</v>
      </c>
      <c r="X148" s="1256">
        <v>45790</v>
      </c>
      <c r="Y148" s="64"/>
      <c r="Z148" s="64"/>
      <c r="AA148" s="127">
        <v>371008541</v>
      </c>
      <c r="AB148" s="117" t="s">
        <v>122</v>
      </c>
      <c r="AC148" s="1257" t="s">
        <v>314</v>
      </c>
      <c r="AD148" s="90">
        <v>45805</v>
      </c>
      <c r="AE148" s="90">
        <v>45805</v>
      </c>
      <c r="AF148" s="90">
        <v>45805</v>
      </c>
      <c r="AG148" s="1256">
        <v>45859</v>
      </c>
      <c r="AH148" s="1256">
        <v>45859</v>
      </c>
      <c r="AI148" s="1256">
        <v>45859</v>
      </c>
      <c r="AJ148" s="1253" t="s">
        <v>66</v>
      </c>
      <c r="AK148" s="1247" t="s">
        <v>9835</v>
      </c>
      <c r="AL148" s="39" t="s">
        <v>9836</v>
      </c>
      <c r="AM148" s="1247" t="s">
        <v>9837</v>
      </c>
      <c r="AN148" s="1247" t="s">
        <v>9838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247" t="s">
        <v>9839</v>
      </c>
      <c r="B149" s="1248" t="s">
        <v>67</v>
      </c>
      <c r="C149" s="1248" t="s">
        <v>63</v>
      </c>
      <c r="D149" s="1248" t="s">
        <v>9397</v>
      </c>
      <c r="E149" s="1248"/>
      <c r="F149" s="118" t="s">
        <v>96</v>
      </c>
      <c r="G149" s="39"/>
      <c r="H149" s="56"/>
      <c r="I149" s="56" t="s">
        <v>9391</v>
      </c>
      <c r="J149" s="118" t="s">
        <v>170</v>
      </c>
      <c r="K149" s="1249">
        <v>552026</v>
      </c>
      <c r="L149" s="1248" t="s">
        <v>463</v>
      </c>
      <c r="M149" s="1253">
        <v>550</v>
      </c>
      <c r="N149" s="125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50"/>
      <c r="T149" s="56" t="s">
        <v>2521</v>
      </c>
      <c r="U149" s="56" t="s">
        <v>2521</v>
      </c>
      <c r="V149" s="56"/>
      <c r="W149" s="1258" t="s">
        <v>9789</v>
      </c>
      <c r="X149" s="1256">
        <v>45800</v>
      </c>
      <c r="Y149" s="90"/>
      <c r="Z149" s="90"/>
      <c r="AA149" s="127">
        <v>371008517</v>
      </c>
      <c r="AB149" s="117" t="s">
        <v>122</v>
      </c>
      <c r="AC149" s="1259" t="s">
        <v>1561</v>
      </c>
      <c r="AD149" s="1256">
        <v>45807</v>
      </c>
      <c r="AE149" s="1256">
        <v>45807</v>
      </c>
      <c r="AF149" s="1256">
        <v>45807</v>
      </c>
      <c r="AG149" s="1256">
        <v>45862</v>
      </c>
      <c r="AH149" s="1256">
        <v>45862</v>
      </c>
      <c r="AI149" s="1256">
        <v>45862</v>
      </c>
      <c r="AJ149" s="1253" t="s">
        <v>66</v>
      </c>
      <c r="AK149" s="1247" t="s">
        <v>9840</v>
      </c>
      <c r="AL149" s="39" t="s">
        <v>9841</v>
      </c>
      <c r="AM149" s="1247" t="s">
        <v>9842</v>
      </c>
      <c r="AN149" s="1247" t="s">
        <v>9842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247" t="s">
        <v>9843</v>
      </c>
      <c r="B150" s="1247" t="s">
        <v>67</v>
      </c>
      <c r="C150" s="1247" t="s">
        <v>63</v>
      </c>
      <c r="D150" s="1247" t="s">
        <v>9397</v>
      </c>
      <c r="E150" s="1247"/>
      <c r="F150" s="118" t="s">
        <v>96</v>
      </c>
      <c r="G150" s="39"/>
      <c r="H150" s="56"/>
      <c r="I150" s="56" t="s">
        <v>9391</v>
      </c>
      <c r="J150" s="79" t="s">
        <v>170</v>
      </c>
      <c r="K150" s="1249">
        <v>552045</v>
      </c>
      <c r="L150" s="1247" t="s">
        <v>172</v>
      </c>
      <c r="M150" s="1253">
        <v>555</v>
      </c>
      <c r="N150" s="125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50"/>
      <c r="T150" s="56" t="s">
        <v>2521</v>
      </c>
      <c r="U150" s="56" t="s">
        <v>2521</v>
      </c>
      <c r="V150" s="56"/>
      <c r="W150" s="1258" t="s">
        <v>9789</v>
      </c>
      <c r="X150" s="1256">
        <v>45800</v>
      </c>
      <c r="Y150" s="90"/>
      <c r="Z150" s="90"/>
      <c r="AA150" s="127">
        <v>371008531</v>
      </c>
      <c r="AB150" s="117" t="s">
        <v>122</v>
      </c>
      <c r="AC150" s="1259" t="s">
        <v>1561</v>
      </c>
      <c r="AD150" s="1256">
        <v>45807</v>
      </c>
      <c r="AE150" s="1256">
        <v>45807</v>
      </c>
      <c r="AF150" s="1256">
        <v>45807</v>
      </c>
      <c r="AG150" s="1256">
        <v>45862</v>
      </c>
      <c r="AH150" s="1256">
        <v>45862</v>
      </c>
      <c r="AI150" s="1256">
        <v>45862</v>
      </c>
      <c r="AJ150" s="1253" t="s">
        <v>66</v>
      </c>
      <c r="AK150" s="1247" t="s">
        <v>9840</v>
      </c>
      <c r="AL150" s="39" t="s">
        <v>9841</v>
      </c>
      <c r="AM150" s="1247" t="s">
        <v>9842</v>
      </c>
      <c r="AN150" s="1247" t="s">
        <v>9842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247" t="s">
        <v>9844</v>
      </c>
      <c r="B151" s="1247" t="s">
        <v>67</v>
      </c>
      <c r="C151" s="1247" t="s">
        <v>63</v>
      </c>
      <c r="D151" s="1247" t="s">
        <v>9397</v>
      </c>
      <c r="E151" s="1247"/>
      <c r="F151" s="118" t="s">
        <v>96</v>
      </c>
      <c r="G151" s="39"/>
      <c r="H151" s="56"/>
      <c r="I151" s="56" t="s">
        <v>9391</v>
      </c>
      <c r="J151" s="79" t="s">
        <v>170</v>
      </c>
      <c r="K151" s="1249">
        <v>552026</v>
      </c>
      <c r="L151" s="1247" t="s">
        <v>463</v>
      </c>
      <c r="M151" s="1253">
        <v>550</v>
      </c>
      <c r="N151" s="125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60"/>
      <c r="T151" s="56" t="s">
        <v>2521</v>
      </c>
      <c r="U151" s="56" t="s">
        <v>2521</v>
      </c>
      <c r="V151" s="56"/>
      <c r="W151" s="1261" t="s">
        <v>9789</v>
      </c>
      <c r="X151" s="1256">
        <v>45799</v>
      </c>
      <c r="Y151" s="90"/>
      <c r="Z151" s="90"/>
      <c r="AA151" s="116">
        <v>371008516</v>
      </c>
      <c r="AB151" s="117" t="s">
        <v>122</v>
      </c>
      <c r="AC151" s="1259" t="s">
        <v>314</v>
      </c>
      <c r="AD151" s="1256">
        <v>45807</v>
      </c>
      <c r="AE151" s="1256">
        <v>45807</v>
      </c>
      <c r="AF151" s="1256">
        <v>45807</v>
      </c>
      <c r="AG151" s="1256">
        <v>45861</v>
      </c>
      <c r="AH151" s="1256">
        <v>45861</v>
      </c>
      <c r="AI151" s="1256">
        <v>45861</v>
      </c>
      <c r="AJ151" s="1253" t="s">
        <v>66</v>
      </c>
      <c r="AK151" s="1247" t="s">
        <v>9840</v>
      </c>
      <c r="AL151" s="39" t="s">
        <v>9845</v>
      </c>
      <c r="AM151" s="1247" t="s">
        <v>9846</v>
      </c>
      <c r="AN151" s="1247" t="s">
        <v>9846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247" t="s">
        <v>9847</v>
      </c>
      <c r="B152" s="1247" t="s">
        <v>67</v>
      </c>
      <c r="C152" s="1247" t="s">
        <v>63</v>
      </c>
      <c r="D152" s="1247" t="s">
        <v>9397</v>
      </c>
      <c r="E152" s="1247"/>
      <c r="F152" s="118" t="s">
        <v>96</v>
      </c>
      <c r="G152" s="39"/>
      <c r="H152" s="56"/>
      <c r="I152" s="56" t="s">
        <v>9391</v>
      </c>
      <c r="J152" s="79" t="s">
        <v>170</v>
      </c>
      <c r="K152" s="1249">
        <v>552045</v>
      </c>
      <c r="L152" s="1247" t="s">
        <v>172</v>
      </c>
      <c r="M152" s="1253">
        <v>555</v>
      </c>
      <c r="N152" s="125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60"/>
      <c r="T152" s="56" t="s">
        <v>2521</v>
      </c>
      <c r="U152" s="56" t="s">
        <v>2521</v>
      </c>
      <c r="V152" s="56"/>
      <c r="W152" s="1261" t="s">
        <v>9789</v>
      </c>
      <c r="X152" s="1256">
        <v>45799</v>
      </c>
      <c r="Y152" s="90"/>
      <c r="Z152" s="90"/>
      <c r="AA152" s="127">
        <v>371008530</v>
      </c>
      <c r="AB152" s="117" t="s">
        <v>122</v>
      </c>
      <c r="AC152" s="1259" t="s">
        <v>314</v>
      </c>
      <c r="AD152" s="1256">
        <v>45807</v>
      </c>
      <c r="AE152" s="1256">
        <v>45807</v>
      </c>
      <c r="AF152" s="1256">
        <v>45807</v>
      </c>
      <c r="AG152" s="1256">
        <v>45861</v>
      </c>
      <c r="AH152" s="1256">
        <v>45861</v>
      </c>
      <c r="AI152" s="1256">
        <v>45861</v>
      </c>
      <c r="AJ152" s="1253" t="s">
        <v>66</v>
      </c>
      <c r="AK152" s="1247" t="s">
        <v>9840</v>
      </c>
      <c r="AL152" s="39" t="s">
        <v>9845</v>
      </c>
      <c r="AM152" s="1247" t="s">
        <v>9846</v>
      </c>
      <c r="AN152" s="1247" t="s">
        <v>9846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248" t="s">
        <v>9848</v>
      </c>
      <c r="B153" s="1248" t="s">
        <v>67</v>
      </c>
      <c r="C153" s="1248" t="s">
        <v>63</v>
      </c>
      <c r="D153" s="1248" t="s">
        <v>66</v>
      </c>
      <c r="E153" s="1248" t="s">
        <v>111</v>
      </c>
      <c r="F153" s="118" t="s">
        <v>2697</v>
      </c>
      <c r="G153" s="39"/>
      <c r="H153" s="56"/>
      <c r="I153" s="56" t="s">
        <v>9831</v>
      </c>
      <c r="J153" s="118" t="s">
        <v>9832</v>
      </c>
      <c r="K153" s="1249">
        <v>554471</v>
      </c>
      <c r="L153" s="1252" t="s">
        <v>1348</v>
      </c>
      <c r="M153" s="1253">
        <v>710</v>
      </c>
      <c r="N153" s="125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54"/>
      <c r="T153" s="56" t="s">
        <v>2699</v>
      </c>
      <c r="U153" s="132" t="s">
        <v>9833</v>
      </c>
      <c r="V153" s="133"/>
      <c r="W153" s="1255" t="s">
        <v>9834</v>
      </c>
      <c r="X153" s="1256">
        <v>45799</v>
      </c>
      <c r="Y153" s="64"/>
      <c r="Z153" s="64"/>
      <c r="AA153" s="116">
        <v>371008539</v>
      </c>
      <c r="AB153" s="117" t="s">
        <v>122</v>
      </c>
      <c r="AC153" s="1259" t="s">
        <v>314</v>
      </c>
      <c r="AD153" s="1256">
        <v>45807</v>
      </c>
      <c r="AE153" s="1256">
        <v>45807</v>
      </c>
      <c r="AF153" s="1256">
        <v>45807</v>
      </c>
      <c r="AG153" s="1256">
        <v>45861</v>
      </c>
      <c r="AH153" s="1256">
        <v>45861</v>
      </c>
      <c r="AI153" s="1256">
        <v>45861</v>
      </c>
      <c r="AJ153" s="1253" t="s">
        <v>66</v>
      </c>
      <c r="AK153" s="1247" t="s">
        <v>9840</v>
      </c>
      <c r="AL153" s="39" t="s">
        <v>9849</v>
      </c>
      <c r="AM153" s="1247" t="s">
        <v>9850</v>
      </c>
      <c r="AN153" s="1247" t="s">
        <v>9850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247" t="s">
        <v>9851</v>
      </c>
      <c r="B154" s="1247" t="s">
        <v>67</v>
      </c>
      <c r="C154" s="1247" t="s">
        <v>63</v>
      </c>
      <c r="D154" s="1247" t="s">
        <v>9397</v>
      </c>
      <c r="E154" s="1247"/>
      <c r="F154" s="118" t="s">
        <v>96</v>
      </c>
      <c r="G154" s="39"/>
      <c r="H154" s="56"/>
      <c r="I154" s="56" t="s">
        <v>9391</v>
      </c>
      <c r="J154" s="79" t="s">
        <v>170</v>
      </c>
      <c r="K154" s="1249">
        <v>552045</v>
      </c>
      <c r="L154" s="1247" t="s">
        <v>172</v>
      </c>
      <c r="M154" s="1253">
        <v>555</v>
      </c>
      <c r="N154" s="125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60"/>
      <c r="T154" s="56" t="s">
        <v>2521</v>
      </c>
      <c r="U154" s="56" t="s">
        <v>2521</v>
      </c>
      <c r="V154" s="56"/>
      <c r="W154" s="1261" t="s">
        <v>9789</v>
      </c>
      <c r="X154" s="1256">
        <v>45790</v>
      </c>
      <c r="Y154" s="90"/>
      <c r="Z154" s="90"/>
      <c r="AA154" s="127">
        <v>371008524</v>
      </c>
      <c r="AB154" s="117" t="s">
        <v>122</v>
      </c>
      <c r="AC154" s="1259" t="s">
        <v>78</v>
      </c>
      <c r="AD154" s="1256">
        <v>45804</v>
      </c>
      <c r="AE154" s="1256">
        <v>45804</v>
      </c>
      <c r="AF154" s="1256">
        <v>45804</v>
      </c>
      <c r="AG154" s="1256">
        <v>45862</v>
      </c>
      <c r="AH154" s="1256">
        <v>45862</v>
      </c>
      <c r="AI154" s="1256">
        <v>45862</v>
      </c>
      <c r="AJ154" s="1253" t="s">
        <v>66</v>
      </c>
      <c r="AK154" s="1247" t="s">
        <v>9852</v>
      </c>
      <c r="AL154" s="39" t="s">
        <v>9853</v>
      </c>
      <c r="AM154" s="1247" t="s">
        <v>9854</v>
      </c>
      <c r="AN154" s="1247" t="s">
        <v>9855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9856</v>
      </c>
      <c r="B155" s="39" t="s">
        <v>67</v>
      </c>
      <c r="C155" s="39" t="s">
        <v>63</v>
      </c>
      <c r="D155" s="39" t="s">
        <v>9397</v>
      </c>
      <c r="E155" s="39"/>
      <c r="F155" s="118" t="s">
        <v>96</v>
      </c>
      <c r="G155" s="79"/>
      <c r="H155" s="118"/>
      <c r="I155" s="118" t="s">
        <v>9391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2521</v>
      </c>
      <c r="U155" s="56" t="s">
        <v>2521</v>
      </c>
      <c r="V155" s="56"/>
      <c r="W155" s="134" t="s">
        <v>9789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59" t="s">
        <v>78</v>
      </c>
      <c r="AD155" s="1256">
        <v>45809</v>
      </c>
      <c r="AE155" s="1256">
        <v>45809</v>
      </c>
      <c r="AF155" s="1256">
        <v>45809</v>
      </c>
      <c r="AG155" s="1256">
        <v>45858</v>
      </c>
      <c r="AH155" s="1256">
        <v>45858</v>
      </c>
      <c r="AI155" s="1256">
        <v>45858</v>
      </c>
      <c r="AJ155" s="1253" t="s">
        <v>66</v>
      </c>
      <c r="AK155" s="1247" t="s">
        <v>9827</v>
      </c>
      <c r="AL155" s="39" t="s">
        <v>9857</v>
      </c>
      <c r="AM155" s="1247" t="s">
        <v>9858</v>
      </c>
      <c r="AN155" s="1247" t="s">
        <v>9858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9859</v>
      </c>
      <c r="B156" s="56" t="s">
        <v>67</v>
      </c>
      <c r="C156" s="56" t="s">
        <v>63</v>
      </c>
      <c r="D156" s="56" t="s">
        <v>9397</v>
      </c>
      <c r="E156" s="56"/>
      <c r="F156" s="118" t="s">
        <v>96</v>
      </c>
      <c r="G156" s="39"/>
      <c r="H156" s="56"/>
      <c r="I156" s="56" t="s">
        <v>9391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50"/>
      <c r="T156" s="56" t="s">
        <v>2521</v>
      </c>
      <c r="U156" s="56" t="s">
        <v>2521</v>
      </c>
      <c r="V156" s="56"/>
      <c r="W156" s="1258" t="s">
        <v>9789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59" t="s">
        <v>78</v>
      </c>
      <c r="AD156" s="1256">
        <v>45815</v>
      </c>
      <c r="AE156" s="1256">
        <v>45815</v>
      </c>
      <c r="AF156" s="1256">
        <v>45815</v>
      </c>
      <c r="AG156" s="1256">
        <v>45866</v>
      </c>
      <c r="AH156" s="1256">
        <v>45865</v>
      </c>
      <c r="AI156" s="1256">
        <v>45866</v>
      </c>
      <c r="AJ156" s="1253" t="s">
        <v>66</v>
      </c>
      <c r="AK156" s="1247" t="s">
        <v>9860</v>
      </c>
      <c r="AL156" s="39" t="s">
        <v>9861</v>
      </c>
      <c r="AM156" s="1247" t="s">
        <v>9862</v>
      </c>
      <c r="AN156" s="1247" t="s">
        <v>9862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247" t="s">
        <v>9863</v>
      </c>
      <c r="B157" s="1248" t="s">
        <v>67</v>
      </c>
      <c r="C157" s="1248" t="s">
        <v>63</v>
      </c>
      <c r="D157" s="1248" t="s">
        <v>9397</v>
      </c>
      <c r="E157" s="1248"/>
      <c r="F157" s="118" t="s">
        <v>96</v>
      </c>
      <c r="G157" s="39"/>
      <c r="H157" s="56"/>
      <c r="I157" s="56" t="s">
        <v>9391</v>
      </c>
      <c r="J157" s="118" t="s">
        <v>170</v>
      </c>
      <c r="K157" s="1249">
        <v>552026</v>
      </c>
      <c r="L157" s="1248" t="s">
        <v>463</v>
      </c>
      <c r="M157" s="1253">
        <v>550</v>
      </c>
      <c r="N157" s="125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54"/>
      <c r="T157" s="56" t="s">
        <v>2521</v>
      </c>
      <c r="U157" s="56" t="s">
        <v>2521</v>
      </c>
      <c r="V157" s="56"/>
      <c r="W157" s="1255" t="s">
        <v>9789</v>
      </c>
      <c r="X157" s="1256">
        <v>45790</v>
      </c>
      <c r="Y157" s="90"/>
      <c r="Z157" s="90"/>
      <c r="AA157" s="127">
        <v>371008514</v>
      </c>
      <c r="AB157" s="117" t="s">
        <v>122</v>
      </c>
      <c r="AC157" s="1259" t="s">
        <v>1561</v>
      </c>
      <c r="AD157" s="1256">
        <v>45801</v>
      </c>
      <c r="AE157" s="1256">
        <v>45801</v>
      </c>
      <c r="AF157" s="1256">
        <v>45801</v>
      </c>
      <c r="AG157" s="1256">
        <v>45870</v>
      </c>
      <c r="AH157" s="1256">
        <v>45870</v>
      </c>
      <c r="AI157" s="1256">
        <v>45870</v>
      </c>
      <c r="AJ157" s="1253" t="s">
        <v>66</v>
      </c>
      <c r="AK157" s="1247" t="s">
        <v>9864</v>
      </c>
      <c r="AL157" s="39" t="s">
        <v>9865</v>
      </c>
      <c r="AM157" s="1247" t="s">
        <v>9866</v>
      </c>
      <c r="AN157" s="1247" t="s">
        <v>9867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247" t="s">
        <v>9868</v>
      </c>
      <c r="B158" s="1247" t="s">
        <v>67</v>
      </c>
      <c r="C158" s="1247" t="s">
        <v>63</v>
      </c>
      <c r="D158" s="1247" t="s">
        <v>9397</v>
      </c>
      <c r="E158" s="1247"/>
      <c r="F158" s="118" t="s">
        <v>96</v>
      </c>
      <c r="G158" s="39"/>
      <c r="H158" s="56"/>
      <c r="I158" s="56" t="s">
        <v>9391</v>
      </c>
      <c r="J158" s="79" t="s">
        <v>170</v>
      </c>
      <c r="K158" s="1249">
        <v>552045</v>
      </c>
      <c r="L158" s="1247" t="s">
        <v>172</v>
      </c>
      <c r="M158" s="1253">
        <v>555</v>
      </c>
      <c r="N158" s="125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60"/>
      <c r="T158" s="56" t="s">
        <v>2521</v>
      </c>
      <c r="U158" s="56" t="s">
        <v>2521</v>
      </c>
      <c r="V158" s="56"/>
      <c r="W158" s="1261" t="s">
        <v>9789</v>
      </c>
      <c r="X158" s="1256">
        <v>45790</v>
      </c>
      <c r="Y158" s="90"/>
      <c r="Z158" s="90"/>
      <c r="AA158" s="127">
        <v>371008526</v>
      </c>
      <c r="AB158" s="117" t="s">
        <v>122</v>
      </c>
      <c r="AC158" s="1259" t="s">
        <v>1561</v>
      </c>
      <c r="AD158" s="1256">
        <v>45801</v>
      </c>
      <c r="AE158" s="1256">
        <v>45801</v>
      </c>
      <c r="AF158" s="1256">
        <v>45801</v>
      </c>
      <c r="AG158" s="1256">
        <v>45870</v>
      </c>
      <c r="AH158" s="1256">
        <v>45870</v>
      </c>
      <c r="AI158" s="1256">
        <v>45870</v>
      </c>
      <c r="AJ158" s="1253" t="s">
        <v>66</v>
      </c>
      <c r="AK158" s="1247" t="s">
        <v>9864</v>
      </c>
      <c r="AL158" s="39" t="s">
        <v>9865</v>
      </c>
      <c r="AM158" s="1247" t="s">
        <v>9866</v>
      </c>
      <c r="AN158" s="1247" t="s">
        <v>9867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9869</v>
      </c>
      <c r="B159" s="39" t="s">
        <v>67</v>
      </c>
      <c r="C159" s="39" t="s">
        <v>63</v>
      </c>
      <c r="D159" s="39" t="s">
        <v>9397</v>
      </c>
      <c r="E159" s="39"/>
      <c r="F159" s="118" t="s">
        <v>96</v>
      </c>
      <c r="G159" s="39"/>
      <c r="H159" s="56"/>
      <c r="I159" s="56" t="s">
        <v>9391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2521</v>
      </c>
      <c r="U159" s="56" t="s">
        <v>2521</v>
      </c>
      <c r="V159" s="56"/>
      <c r="W159" s="134" t="s">
        <v>9789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59" t="s">
        <v>124</v>
      </c>
      <c r="AD159" s="1256">
        <v>45819</v>
      </c>
      <c r="AE159" s="1256">
        <v>45819</v>
      </c>
      <c r="AF159" s="1256">
        <v>45819</v>
      </c>
      <c r="AG159" s="1256">
        <v>45858</v>
      </c>
      <c r="AH159" s="1256">
        <v>45858</v>
      </c>
      <c r="AI159" s="1256">
        <v>45858</v>
      </c>
      <c r="AJ159" s="1253" t="s">
        <v>66</v>
      </c>
      <c r="AK159" s="1247" t="s">
        <v>9870</v>
      </c>
      <c r="AL159" s="39" t="s">
        <v>9871</v>
      </c>
      <c r="AM159" s="1247" t="s">
        <v>9872</v>
      </c>
      <c r="AN159" s="1247" t="s">
        <v>9872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247" t="s">
        <v>9873</v>
      </c>
      <c r="B160" s="1247" t="s">
        <v>67</v>
      </c>
      <c r="C160" s="1247" t="s">
        <v>63</v>
      </c>
      <c r="D160" s="1247" t="s">
        <v>9397</v>
      </c>
      <c r="E160" s="1247"/>
      <c r="F160" s="118" t="s">
        <v>96</v>
      </c>
      <c r="G160" s="39"/>
      <c r="H160" s="56"/>
      <c r="I160" s="56" t="s">
        <v>9391</v>
      </c>
      <c r="J160" s="79" t="s">
        <v>170</v>
      </c>
      <c r="K160" s="1249">
        <v>552045</v>
      </c>
      <c r="L160" s="1247" t="s">
        <v>172</v>
      </c>
      <c r="M160" s="1253">
        <v>555</v>
      </c>
      <c r="N160" s="125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60"/>
      <c r="T160" s="56" t="s">
        <v>2521</v>
      </c>
      <c r="U160" s="56" t="s">
        <v>2521</v>
      </c>
      <c r="V160" s="56"/>
      <c r="W160" s="1261" t="s">
        <v>9789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59" t="s">
        <v>78</v>
      </c>
      <c r="AD160" s="1256">
        <v>45807</v>
      </c>
      <c r="AE160" s="1256">
        <v>45807</v>
      </c>
      <c r="AF160" s="1256">
        <v>45807</v>
      </c>
      <c r="AG160" s="1256">
        <v>45869</v>
      </c>
      <c r="AH160" s="1256">
        <v>45867</v>
      </c>
      <c r="AI160" s="1256">
        <v>45869</v>
      </c>
      <c r="AJ160" s="1253" t="s">
        <v>66</v>
      </c>
      <c r="AK160" s="1247" t="s">
        <v>9840</v>
      </c>
      <c r="AL160" s="39" t="s">
        <v>9874</v>
      </c>
      <c r="AM160" s="1247" t="s">
        <v>9875</v>
      </c>
      <c r="AN160" s="1247" t="s">
        <v>9875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9876</v>
      </c>
      <c r="B161" s="56" t="s">
        <v>67</v>
      </c>
      <c r="C161" s="56" t="s">
        <v>63</v>
      </c>
      <c r="D161" s="56" t="s">
        <v>9397</v>
      </c>
      <c r="E161" s="56"/>
      <c r="F161" s="118" t="s">
        <v>96</v>
      </c>
      <c r="G161" s="39"/>
      <c r="H161" s="56"/>
      <c r="I161" s="56" t="s">
        <v>9391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2521</v>
      </c>
      <c r="U161" s="56" t="s">
        <v>2521</v>
      </c>
      <c r="V161" s="139"/>
      <c r="W161" s="1255" t="s">
        <v>9546</v>
      </c>
      <c r="X161" s="1256">
        <v>45807</v>
      </c>
      <c r="Y161" s="64"/>
      <c r="Z161" s="64"/>
      <c r="AA161" s="116">
        <v>371008543</v>
      </c>
      <c r="AB161" s="117" t="s">
        <v>122</v>
      </c>
      <c r="AC161" s="1259" t="s">
        <v>314</v>
      </c>
      <c r="AD161" s="1256">
        <v>45814</v>
      </c>
      <c r="AE161" s="1256">
        <v>45814</v>
      </c>
      <c r="AF161" s="1256">
        <v>45814</v>
      </c>
      <c r="AG161" s="1256">
        <v>45870</v>
      </c>
      <c r="AH161" s="1256">
        <v>45874</v>
      </c>
      <c r="AI161" s="1256">
        <v>45870</v>
      </c>
      <c r="AJ161" s="1253" t="s">
        <v>66</v>
      </c>
      <c r="AK161" s="1247" t="s">
        <v>9877</v>
      </c>
      <c r="AL161" s="39" t="s">
        <v>9878</v>
      </c>
      <c r="AM161" s="1247" t="s">
        <v>9879</v>
      </c>
      <c r="AN161" s="1247" t="s">
        <v>9879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9880</v>
      </c>
      <c r="B162" s="56" t="s">
        <v>67</v>
      </c>
      <c r="C162" s="56" t="s">
        <v>63</v>
      </c>
      <c r="D162" s="56" t="s">
        <v>9397</v>
      </c>
      <c r="E162" s="56"/>
      <c r="F162" s="118" t="s">
        <v>96</v>
      </c>
      <c r="G162" s="39"/>
      <c r="H162" s="56"/>
      <c r="I162" s="56" t="s">
        <v>9391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2521</v>
      </c>
      <c r="U162" s="56" t="s">
        <v>2521</v>
      </c>
      <c r="V162" s="56"/>
      <c r="W162" s="134" t="s">
        <v>9789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59" t="s">
        <v>314</v>
      </c>
      <c r="AD162" s="1256">
        <v>45814</v>
      </c>
      <c r="AE162" s="1256">
        <v>45814</v>
      </c>
      <c r="AF162" s="1256">
        <v>45814</v>
      </c>
      <c r="AG162" s="1256">
        <v>45870</v>
      </c>
      <c r="AH162" s="1256">
        <v>45874</v>
      </c>
      <c r="AI162" s="1256">
        <v>45870</v>
      </c>
      <c r="AJ162" s="1253" t="s">
        <v>66</v>
      </c>
      <c r="AK162" s="1247" t="s">
        <v>9877</v>
      </c>
      <c r="AL162" s="39" t="s">
        <v>9878</v>
      </c>
      <c r="AM162" s="39" t="s">
        <v>9879</v>
      </c>
      <c r="AN162" s="39" t="s">
        <v>9879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9881</v>
      </c>
      <c r="B163" s="39" t="s">
        <v>67</v>
      </c>
      <c r="C163" s="39" t="s">
        <v>63</v>
      </c>
      <c r="D163" s="39" t="s">
        <v>9397</v>
      </c>
      <c r="E163" s="39"/>
      <c r="F163" s="118" t="s">
        <v>96</v>
      </c>
      <c r="G163" s="39"/>
      <c r="H163" s="56"/>
      <c r="I163" s="56" t="s">
        <v>9391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60"/>
      <c r="T163" s="56" t="s">
        <v>2521</v>
      </c>
      <c r="U163" s="56" t="s">
        <v>2521</v>
      </c>
      <c r="V163" s="56"/>
      <c r="W163" s="1261" t="s">
        <v>9789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59" t="s">
        <v>314</v>
      </c>
      <c r="AD163" s="1256">
        <v>45814</v>
      </c>
      <c r="AE163" s="1256">
        <v>45814</v>
      </c>
      <c r="AF163" s="1256">
        <v>45814</v>
      </c>
      <c r="AG163" s="1256">
        <v>45870</v>
      </c>
      <c r="AH163" s="1256">
        <v>45874</v>
      </c>
      <c r="AI163" s="1256">
        <v>45870</v>
      </c>
      <c r="AJ163" s="1253" t="s">
        <v>66</v>
      </c>
      <c r="AK163" s="1247" t="s">
        <v>9877</v>
      </c>
      <c r="AL163" s="39" t="s">
        <v>9878</v>
      </c>
      <c r="AM163" s="39" t="s">
        <v>9879</v>
      </c>
      <c r="AN163" s="39" t="s">
        <v>9879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247" t="s">
        <v>9882</v>
      </c>
      <c r="B164" s="1248" t="s">
        <v>67</v>
      </c>
      <c r="C164" s="1248" t="s">
        <v>63</v>
      </c>
      <c r="D164" s="1248" t="s">
        <v>9397</v>
      </c>
      <c r="E164" s="1248"/>
      <c r="F164" s="118" t="s">
        <v>96</v>
      </c>
      <c r="G164" s="39"/>
      <c r="H164" s="56"/>
      <c r="I164" s="56" t="s">
        <v>9391</v>
      </c>
      <c r="J164" s="118" t="s">
        <v>170</v>
      </c>
      <c r="K164" s="1249">
        <v>552026</v>
      </c>
      <c r="L164" s="1248" t="s">
        <v>463</v>
      </c>
      <c r="M164" s="1253">
        <v>550</v>
      </c>
      <c r="N164" s="125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60"/>
      <c r="T164" s="56" t="s">
        <v>2521</v>
      </c>
      <c r="U164" s="56" t="s">
        <v>2521</v>
      </c>
      <c r="V164" s="56"/>
      <c r="W164" s="1261" t="s">
        <v>9789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59" t="s">
        <v>1561</v>
      </c>
      <c r="AD164" s="1256">
        <v>45814</v>
      </c>
      <c r="AE164" s="1256">
        <v>45814</v>
      </c>
      <c r="AF164" s="1256">
        <v>45814</v>
      </c>
      <c r="AG164" s="1256">
        <v>45862</v>
      </c>
      <c r="AH164" s="1256">
        <v>45862</v>
      </c>
      <c r="AI164" s="1256">
        <v>45862</v>
      </c>
      <c r="AJ164" s="1253" t="s">
        <v>66</v>
      </c>
      <c r="AK164" s="1247" t="s">
        <v>9877</v>
      </c>
      <c r="AL164" s="39" t="s">
        <v>9883</v>
      </c>
      <c r="AM164" s="1247" t="s">
        <v>9884</v>
      </c>
      <c r="AN164" s="1247" t="s">
        <v>9884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247" t="s">
        <v>9885</v>
      </c>
      <c r="B165" s="1247" t="s">
        <v>67</v>
      </c>
      <c r="C165" s="1247" t="s">
        <v>63</v>
      </c>
      <c r="D165" s="1247" t="s">
        <v>9397</v>
      </c>
      <c r="E165" s="1247"/>
      <c r="F165" s="118" t="s">
        <v>96</v>
      </c>
      <c r="G165" s="39"/>
      <c r="H165" s="56"/>
      <c r="I165" s="56" t="s">
        <v>9391</v>
      </c>
      <c r="J165" s="79" t="s">
        <v>170</v>
      </c>
      <c r="K165" s="1249">
        <v>552045</v>
      </c>
      <c r="L165" s="1247" t="s">
        <v>172</v>
      </c>
      <c r="M165" s="1253">
        <v>555</v>
      </c>
      <c r="N165" s="125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60"/>
      <c r="T165" s="56" t="s">
        <v>2521</v>
      </c>
      <c r="U165" s="56" t="s">
        <v>2521</v>
      </c>
      <c r="V165" s="56"/>
      <c r="W165" s="1261" t="s">
        <v>9789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59" t="s">
        <v>1561</v>
      </c>
      <c r="AD165" s="1256">
        <v>45814</v>
      </c>
      <c r="AE165" s="1256">
        <v>45814</v>
      </c>
      <c r="AF165" s="1256">
        <v>45814</v>
      </c>
      <c r="AG165" s="1256">
        <v>45862</v>
      </c>
      <c r="AH165" s="1256">
        <v>45862</v>
      </c>
      <c r="AI165" s="1256">
        <v>45862</v>
      </c>
      <c r="AJ165" s="1253" t="s">
        <v>66</v>
      </c>
      <c r="AK165" s="1247" t="s">
        <v>9877</v>
      </c>
      <c r="AL165" s="39" t="s">
        <v>9883</v>
      </c>
      <c r="AM165" s="1247" t="s">
        <v>9884</v>
      </c>
      <c r="AN165" s="1247" t="s">
        <v>9884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248" t="s">
        <v>9886</v>
      </c>
      <c r="B166" s="1248" t="s">
        <v>67</v>
      </c>
      <c r="C166" s="1248" t="s">
        <v>63</v>
      </c>
      <c r="D166" s="1248" t="s">
        <v>9397</v>
      </c>
      <c r="E166" s="1248"/>
      <c r="F166" s="118" t="s">
        <v>96</v>
      </c>
      <c r="G166" s="39"/>
      <c r="H166" s="56"/>
      <c r="I166" s="56" t="s">
        <v>9391</v>
      </c>
      <c r="J166" s="118" t="s">
        <v>550</v>
      </c>
      <c r="K166" s="1249">
        <v>553118</v>
      </c>
      <c r="L166" s="1248" t="s">
        <v>552</v>
      </c>
      <c r="M166" s="1250">
        <v>510</v>
      </c>
      <c r="N166" s="125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48"/>
      <c r="T166" s="56" t="s">
        <v>2521</v>
      </c>
      <c r="U166" s="56" t="s">
        <v>2521</v>
      </c>
      <c r="V166" s="56"/>
      <c r="W166" s="1247" t="s">
        <v>9546</v>
      </c>
      <c r="X166" s="1244">
        <v>45806</v>
      </c>
      <c r="Y166" s="78"/>
      <c r="Z166" s="78"/>
      <c r="AA166" s="121">
        <v>371008542</v>
      </c>
      <c r="AB166" s="79" t="s">
        <v>122</v>
      </c>
      <c r="AC166" s="1245" t="s">
        <v>78</v>
      </c>
      <c r="AD166" s="1244">
        <v>45814</v>
      </c>
      <c r="AE166" s="1244">
        <v>45814</v>
      </c>
      <c r="AF166" s="1244">
        <v>45814</v>
      </c>
      <c r="AG166" s="1244">
        <v>45875</v>
      </c>
      <c r="AH166" s="1244">
        <v>45870</v>
      </c>
      <c r="AI166" s="1244">
        <v>45875</v>
      </c>
      <c r="AJ166" s="1250" t="s">
        <v>66</v>
      </c>
      <c r="AK166" s="1247" t="s">
        <v>9877</v>
      </c>
      <c r="AL166" s="39" t="s">
        <v>9887</v>
      </c>
      <c r="AM166" s="1247" t="s">
        <v>9888</v>
      </c>
      <c r="AN166" s="1247" t="s">
        <v>9888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9889</v>
      </c>
      <c r="B167" s="39" t="s">
        <v>67</v>
      </c>
      <c r="C167" s="39" t="s">
        <v>63</v>
      </c>
      <c r="D167" s="39" t="s">
        <v>9397</v>
      </c>
      <c r="E167" s="39"/>
      <c r="F167" s="118" t="s">
        <v>96</v>
      </c>
      <c r="G167" s="79"/>
      <c r="H167" s="118"/>
      <c r="I167" s="118" t="s">
        <v>9391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50"/>
      <c r="T167" s="56" t="s">
        <v>2521</v>
      </c>
      <c r="U167" s="56" t="s">
        <v>2521</v>
      </c>
      <c r="V167" s="56"/>
      <c r="W167" s="1258" t="s">
        <v>9789</v>
      </c>
      <c r="X167" s="1244">
        <v>45806</v>
      </c>
      <c r="Y167" s="90"/>
      <c r="Z167" s="90"/>
      <c r="AA167" s="121">
        <v>371008550</v>
      </c>
      <c r="AB167" s="79" t="s">
        <v>122</v>
      </c>
      <c r="AC167" s="1245" t="s">
        <v>78</v>
      </c>
      <c r="AD167" s="1244">
        <v>45814</v>
      </c>
      <c r="AE167" s="1244">
        <v>45814</v>
      </c>
      <c r="AF167" s="1244">
        <v>45814</v>
      </c>
      <c r="AG167" s="1244">
        <v>45875</v>
      </c>
      <c r="AH167" s="1244">
        <v>45870</v>
      </c>
      <c r="AI167" s="1244">
        <v>45875</v>
      </c>
      <c r="AJ167" s="1250" t="s">
        <v>66</v>
      </c>
      <c r="AK167" s="1247" t="s">
        <v>9877</v>
      </c>
      <c r="AL167" s="39" t="s">
        <v>9887</v>
      </c>
      <c r="AM167" s="1247" t="s">
        <v>9888</v>
      </c>
      <c r="AN167" s="1247" t="s">
        <v>9888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9391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58" t="s">
        <v>9890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83</v>
      </c>
      <c r="AQ168" s="75" t="s">
        <v>2534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58" activePane="bottomLeft" state="frozen"/>
      <selection activeCell="F1" sqref="F1"/>
      <selection pane="bottomLeft" activeCell="F84" sqref="F84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2494</v>
      </c>
      <c r="B1" s="763" t="s">
        <v>9891</v>
      </c>
      <c r="C1" s="764" t="s">
        <v>9892</v>
      </c>
      <c r="D1" s="923" t="s">
        <v>9893</v>
      </c>
      <c r="E1" s="924" t="s">
        <v>9894</v>
      </c>
      <c r="F1" s="924" t="s">
        <v>16</v>
      </c>
      <c r="G1" s="924" t="s">
        <v>9895</v>
      </c>
      <c r="H1" s="924" t="s">
        <v>9896</v>
      </c>
      <c r="I1" s="924" t="s">
        <v>9897</v>
      </c>
      <c r="J1" s="924" t="s">
        <v>32</v>
      </c>
      <c r="K1" s="924" t="s">
        <v>9898</v>
      </c>
      <c r="L1" s="925" t="s">
        <v>9899</v>
      </c>
      <c r="M1" s="924" t="s">
        <v>9900</v>
      </c>
      <c r="N1" s="924" t="s">
        <v>9901</v>
      </c>
      <c r="O1" s="924" t="s">
        <v>9902</v>
      </c>
      <c r="P1" s="924" t="s">
        <v>9903</v>
      </c>
      <c r="Q1" s="924" t="s">
        <v>9904</v>
      </c>
      <c r="R1" s="926" t="s">
        <v>4</v>
      </c>
      <c r="S1" s="926" t="s">
        <v>5</v>
      </c>
      <c r="T1" s="926" t="s">
        <v>6</v>
      </c>
    </row>
    <row r="2" spans="1:20" s="775" customFormat="1" ht="18.75" customHeight="1">
      <c r="A2" s="766" t="s">
        <v>9905</v>
      </c>
      <c r="B2" s="767" t="s">
        <v>8361</v>
      </c>
      <c r="C2" s="768">
        <v>202604</v>
      </c>
      <c r="D2" s="769" t="s">
        <v>9906</v>
      </c>
      <c r="E2" s="770" t="s">
        <v>9907</v>
      </c>
      <c r="F2" s="771" t="s">
        <v>9908</v>
      </c>
      <c r="G2" s="772">
        <v>3</v>
      </c>
      <c r="H2" s="772" t="s">
        <v>402</v>
      </c>
      <c r="I2" s="772" t="s">
        <v>9909</v>
      </c>
      <c r="J2" s="772" t="s">
        <v>123</v>
      </c>
      <c r="K2" s="772" t="s">
        <v>9222</v>
      </c>
      <c r="L2" s="773" t="s">
        <v>8516</v>
      </c>
      <c r="M2" s="773" t="s">
        <v>9910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9905</v>
      </c>
      <c r="B3" s="767" t="s">
        <v>8361</v>
      </c>
      <c r="C3" s="768">
        <v>202604</v>
      </c>
      <c r="D3" s="769" t="s">
        <v>9911</v>
      </c>
      <c r="E3" s="770" t="s">
        <v>9912</v>
      </c>
      <c r="F3" s="771" t="s">
        <v>9913</v>
      </c>
      <c r="G3" s="772">
        <v>2</v>
      </c>
      <c r="H3" s="772" t="s">
        <v>402</v>
      </c>
      <c r="I3" s="772" t="s">
        <v>9909</v>
      </c>
      <c r="J3" s="772" t="s">
        <v>123</v>
      </c>
      <c r="K3" s="772" t="s">
        <v>9222</v>
      </c>
      <c r="L3" s="772" t="s">
        <v>9914</v>
      </c>
      <c r="M3" s="773" t="s">
        <v>9910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9905</v>
      </c>
      <c r="B4" s="767" t="s">
        <v>8361</v>
      </c>
      <c r="C4" s="768">
        <v>202604</v>
      </c>
      <c r="D4" s="769" t="s">
        <v>5550</v>
      </c>
      <c r="E4" s="770" t="s">
        <v>9915</v>
      </c>
      <c r="F4" s="771" t="s">
        <v>5551</v>
      </c>
      <c r="G4" s="772">
        <v>2</v>
      </c>
      <c r="H4" s="772" t="s">
        <v>402</v>
      </c>
      <c r="I4" s="772" t="s">
        <v>9909</v>
      </c>
      <c r="J4" s="772" t="s">
        <v>123</v>
      </c>
      <c r="K4" s="772" t="s">
        <v>9222</v>
      </c>
      <c r="L4" s="772" t="s">
        <v>9914</v>
      </c>
      <c r="M4" s="773" t="s">
        <v>9910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9905</v>
      </c>
      <c r="B5" s="767" t="s">
        <v>8361</v>
      </c>
      <c r="C5" s="768">
        <v>202604</v>
      </c>
      <c r="D5" s="769" t="s">
        <v>9916</v>
      </c>
      <c r="E5" s="770" t="s">
        <v>9917</v>
      </c>
      <c r="F5" s="771" t="s">
        <v>9918</v>
      </c>
      <c r="G5" s="772">
        <v>15</v>
      </c>
      <c r="H5" s="772" t="s">
        <v>402</v>
      </c>
      <c r="I5" s="772" t="s">
        <v>9909</v>
      </c>
      <c r="J5" s="772" t="s">
        <v>123</v>
      </c>
      <c r="K5" s="772" t="s">
        <v>9222</v>
      </c>
      <c r="L5" s="772" t="s">
        <v>9914</v>
      </c>
      <c r="M5" s="773" t="s">
        <v>9910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9905</v>
      </c>
      <c r="B6" s="767" t="s">
        <v>8361</v>
      </c>
      <c r="C6" s="768">
        <v>202604</v>
      </c>
      <c r="D6" s="769" t="s">
        <v>9919</v>
      </c>
      <c r="E6" s="770" t="s">
        <v>9920</v>
      </c>
      <c r="F6" s="771" t="s">
        <v>9921</v>
      </c>
      <c r="G6" s="772">
        <v>10</v>
      </c>
      <c r="H6" s="772" t="s">
        <v>402</v>
      </c>
      <c r="I6" s="772" t="s">
        <v>9909</v>
      </c>
      <c r="J6" s="772" t="s">
        <v>123</v>
      </c>
      <c r="K6" s="772" t="s">
        <v>9222</v>
      </c>
      <c r="L6" s="772" t="s">
        <v>9914</v>
      </c>
      <c r="M6" s="773" t="s">
        <v>9910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9905</v>
      </c>
      <c r="B7" s="776" t="s">
        <v>8361</v>
      </c>
      <c r="C7" s="777">
        <v>202604</v>
      </c>
      <c r="D7" s="778" t="s">
        <v>6652</v>
      </c>
      <c r="E7" s="779" t="s">
        <v>9922</v>
      </c>
      <c r="F7" s="780" t="s">
        <v>6653</v>
      </c>
      <c r="G7" s="781">
        <v>6</v>
      </c>
      <c r="H7" s="781" t="s">
        <v>402</v>
      </c>
      <c r="I7" s="781" t="s">
        <v>9909</v>
      </c>
      <c r="J7" s="781" t="s">
        <v>123</v>
      </c>
      <c r="K7" s="781" t="s">
        <v>9222</v>
      </c>
      <c r="L7" s="781" t="s">
        <v>9914</v>
      </c>
      <c r="M7" s="773" t="s">
        <v>9910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9905</v>
      </c>
      <c r="B8" s="783" t="s">
        <v>9923</v>
      </c>
      <c r="C8" s="784">
        <v>202604</v>
      </c>
      <c r="D8" s="785" t="s">
        <v>9924</v>
      </c>
      <c r="E8" s="786" t="s">
        <v>9925</v>
      </c>
      <c r="F8" s="787" t="s">
        <v>9926</v>
      </c>
      <c r="G8" s="785">
        <v>1</v>
      </c>
      <c r="H8" s="784" t="s">
        <v>66</v>
      </c>
      <c r="I8" s="784" t="s">
        <v>9909</v>
      </c>
      <c r="J8" s="784" t="s">
        <v>9927</v>
      </c>
      <c r="K8" s="784" t="s">
        <v>9222</v>
      </c>
      <c r="L8" s="784" t="s">
        <v>8513</v>
      </c>
      <c r="M8" s="784" t="s">
        <v>9928</v>
      </c>
      <c r="N8" s="784" t="s">
        <v>9929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9905</v>
      </c>
      <c r="B9" s="783" t="s">
        <v>9923</v>
      </c>
      <c r="C9" s="784">
        <v>202604</v>
      </c>
      <c r="D9" s="785" t="s">
        <v>9930</v>
      </c>
      <c r="E9" s="786" t="s">
        <v>9931</v>
      </c>
      <c r="F9" s="787" t="s">
        <v>9932</v>
      </c>
      <c r="G9" s="785">
        <v>1</v>
      </c>
      <c r="H9" s="784" t="s">
        <v>66</v>
      </c>
      <c r="I9" s="784" t="s">
        <v>9909</v>
      </c>
      <c r="J9" s="784" t="s">
        <v>9927</v>
      </c>
      <c r="K9" s="784" t="s">
        <v>9222</v>
      </c>
      <c r="L9" s="784" t="s">
        <v>8513</v>
      </c>
      <c r="M9" s="784" t="s">
        <v>9928</v>
      </c>
      <c r="N9" s="784" t="s">
        <v>9929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9905</v>
      </c>
      <c r="B10" s="783" t="s">
        <v>9923</v>
      </c>
      <c r="C10" s="784">
        <v>202604</v>
      </c>
      <c r="D10" s="785" t="s">
        <v>9933</v>
      </c>
      <c r="E10" s="786" t="s">
        <v>9934</v>
      </c>
      <c r="F10" s="787" t="s">
        <v>9935</v>
      </c>
      <c r="G10" s="785">
        <v>1</v>
      </c>
      <c r="H10" s="784" t="s">
        <v>66</v>
      </c>
      <c r="I10" s="784" t="s">
        <v>9909</v>
      </c>
      <c r="J10" s="784" t="s">
        <v>9927</v>
      </c>
      <c r="K10" s="784" t="s">
        <v>9222</v>
      </c>
      <c r="L10" s="784" t="s">
        <v>8513</v>
      </c>
      <c r="M10" s="784" t="s">
        <v>9928</v>
      </c>
      <c r="N10" s="784" t="s">
        <v>9929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9905</v>
      </c>
      <c r="B11" s="783" t="s">
        <v>9923</v>
      </c>
      <c r="C11" s="784">
        <v>202604</v>
      </c>
      <c r="D11" s="785" t="s">
        <v>9936</v>
      </c>
      <c r="E11" s="786" t="s">
        <v>7083</v>
      </c>
      <c r="F11" s="787" t="s">
        <v>9937</v>
      </c>
      <c r="G11" s="785">
        <v>1</v>
      </c>
      <c r="H11" s="784" t="s">
        <v>66</v>
      </c>
      <c r="I11" s="784" t="s">
        <v>9909</v>
      </c>
      <c r="J11" s="784" t="s">
        <v>9927</v>
      </c>
      <c r="K11" s="784" t="s">
        <v>9222</v>
      </c>
      <c r="L11" s="784" t="s">
        <v>8513</v>
      </c>
      <c r="M11" s="784" t="s">
        <v>9928</v>
      </c>
      <c r="N11" s="784" t="s">
        <v>9929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9905</v>
      </c>
      <c r="B12" s="783" t="s">
        <v>9923</v>
      </c>
      <c r="C12" s="784">
        <v>202604</v>
      </c>
      <c r="D12" s="785" t="s">
        <v>9938</v>
      </c>
      <c r="E12" s="786" t="s">
        <v>9939</v>
      </c>
      <c r="F12" s="787" t="s">
        <v>9940</v>
      </c>
      <c r="G12" s="785">
        <v>1</v>
      </c>
      <c r="H12" s="784" t="s">
        <v>66</v>
      </c>
      <c r="I12" s="784" t="s">
        <v>9909</v>
      </c>
      <c r="J12" s="784" t="s">
        <v>9927</v>
      </c>
      <c r="K12" s="784" t="s">
        <v>9222</v>
      </c>
      <c r="L12" s="784" t="s">
        <v>8513</v>
      </c>
      <c r="M12" s="784" t="s">
        <v>9928</v>
      </c>
      <c r="N12" s="784" t="s">
        <v>9929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9905</v>
      </c>
      <c r="B13" s="783" t="s">
        <v>9923</v>
      </c>
      <c r="C13" s="784">
        <v>202604</v>
      </c>
      <c r="D13" s="785" t="s">
        <v>9941</v>
      </c>
      <c r="E13" s="786" t="s">
        <v>9942</v>
      </c>
      <c r="F13" s="787" t="s">
        <v>9943</v>
      </c>
      <c r="G13" s="785">
        <v>1</v>
      </c>
      <c r="H13" s="784" t="s">
        <v>66</v>
      </c>
      <c r="I13" s="784" t="s">
        <v>9909</v>
      </c>
      <c r="J13" s="784" t="s">
        <v>9927</v>
      </c>
      <c r="K13" s="784" t="s">
        <v>9222</v>
      </c>
      <c r="L13" s="784" t="s">
        <v>8513</v>
      </c>
      <c r="M13" s="784" t="s">
        <v>9928</v>
      </c>
      <c r="N13" s="784" t="s">
        <v>9929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9905</v>
      </c>
      <c r="B14" s="767" t="s">
        <v>9923</v>
      </c>
      <c r="C14" s="768">
        <v>202604</v>
      </c>
      <c r="D14" s="772" t="s">
        <v>9944</v>
      </c>
      <c r="E14" s="790" t="s">
        <v>9945</v>
      </c>
      <c r="F14" s="770" t="s">
        <v>9946</v>
      </c>
      <c r="G14" s="927">
        <v>2</v>
      </c>
      <c r="H14" s="768" t="s">
        <v>66</v>
      </c>
      <c r="I14" s="768" t="s">
        <v>9947</v>
      </c>
      <c r="J14" s="768" t="s">
        <v>289</v>
      </c>
      <c r="K14" s="768" t="s">
        <v>9222</v>
      </c>
      <c r="L14" s="768" t="s">
        <v>8467</v>
      </c>
      <c r="M14" s="790"/>
      <c r="N14" s="790" t="s">
        <v>9948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9905</v>
      </c>
      <c r="B15" s="767" t="s">
        <v>9923</v>
      </c>
      <c r="C15" s="768">
        <v>202604</v>
      </c>
      <c r="D15" s="772" t="s">
        <v>9949</v>
      </c>
      <c r="E15" s="790" t="s">
        <v>9945</v>
      </c>
      <c r="F15" s="770" t="s">
        <v>9950</v>
      </c>
      <c r="G15" s="927">
        <v>1</v>
      </c>
      <c r="H15" s="768" t="s">
        <v>66</v>
      </c>
      <c r="I15" s="768" t="s">
        <v>9947</v>
      </c>
      <c r="J15" s="768" t="s">
        <v>289</v>
      </c>
      <c r="K15" s="768" t="s">
        <v>9222</v>
      </c>
      <c r="L15" s="768" t="s">
        <v>8467</v>
      </c>
      <c r="M15" s="790"/>
      <c r="N15" s="790" t="s">
        <v>9948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9905</v>
      </c>
      <c r="B16" s="767" t="s">
        <v>9923</v>
      </c>
      <c r="C16" s="768">
        <v>202604</v>
      </c>
      <c r="D16" s="772" t="s">
        <v>9951</v>
      </c>
      <c r="E16" s="790" t="s">
        <v>9952</v>
      </c>
      <c r="F16" s="770" t="s">
        <v>9953</v>
      </c>
      <c r="G16" s="927">
        <v>1</v>
      </c>
      <c r="H16" s="768" t="s">
        <v>66</v>
      </c>
      <c r="I16" s="768" t="s">
        <v>9947</v>
      </c>
      <c r="J16" s="768" t="s">
        <v>289</v>
      </c>
      <c r="K16" s="768" t="s">
        <v>9222</v>
      </c>
      <c r="L16" s="768" t="s">
        <v>8467</v>
      </c>
      <c r="M16" s="790"/>
      <c r="N16" s="790" t="s">
        <v>9948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9905</v>
      </c>
      <c r="B17" s="767" t="s">
        <v>9923</v>
      </c>
      <c r="C17" s="768">
        <v>202604</v>
      </c>
      <c r="D17" s="772" t="s">
        <v>9954</v>
      </c>
      <c r="E17" s="790" t="s">
        <v>9955</v>
      </c>
      <c r="F17" s="770" t="s">
        <v>9956</v>
      </c>
      <c r="G17" s="927">
        <v>1</v>
      </c>
      <c r="H17" s="768" t="s">
        <v>66</v>
      </c>
      <c r="I17" s="768" t="s">
        <v>9947</v>
      </c>
      <c r="J17" s="768" t="s">
        <v>289</v>
      </c>
      <c r="K17" s="768" t="s">
        <v>9222</v>
      </c>
      <c r="L17" s="768" t="s">
        <v>8467</v>
      </c>
      <c r="M17" s="790"/>
      <c r="N17" s="790" t="s">
        <v>9948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9905</v>
      </c>
      <c r="B18" s="767" t="s">
        <v>9923</v>
      </c>
      <c r="C18" s="768">
        <v>202604</v>
      </c>
      <c r="D18" s="772" t="s">
        <v>9957</v>
      </c>
      <c r="E18" s="790" t="s">
        <v>9958</v>
      </c>
      <c r="F18" s="770" t="s">
        <v>9959</v>
      </c>
      <c r="G18" s="927">
        <v>2</v>
      </c>
      <c r="H18" s="768" t="s">
        <v>66</v>
      </c>
      <c r="I18" s="768" t="s">
        <v>9947</v>
      </c>
      <c r="J18" s="768" t="s">
        <v>289</v>
      </c>
      <c r="K18" s="768" t="s">
        <v>9222</v>
      </c>
      <c r="L18" s="768" t="s">
        <v>8467</v>
      </c>
      <c r="M18" s="790"/>
      <c r="N18" s="790" t="s">
        <v>9948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9905</v>
      </c>
      <c r="B19" s="767" t="s">
        <v>9923</v>
      </c>
      <c r="C19" s="768">
        <v>202604</v>
      </c>
      <c r="D19" s="772" t="s">
        <v>9960</v>
      </c>
      <c r="E19" s="790" t="s">
        <v>9961</v>
      </c>
      <c r="F19" s="770" t="s">
        <v>9962</v>
      </c>
      <c r="G19" s="927">
        <v>2</v>
      </c>
      <c r="H19" s="768" t="s">
        <v>66</v>
      </c>
      <c r="I19" s="768" t="s">
        <v>9947</v>
      </c>
      <c r="J19" s="768" t="s">
        <v>289</v>
      </c>
      <c r="K19" s="768" t="s">
        <v>9222</v>
      </c>
      <c r="L19" s="768" t="s">
        <v>8467</v>
      </c>
      <c r="M19" s="790"/>
      <c r="N19" s="790" t="s">
        <v>9948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9905</v>
      </c>
      <c r="B20" s="767" t="s">
        <v>9923</v>
      </c>
      <c r="C20" s="768">
        <v>202604</v>
      </c>
      <c r="D20" s="772" t="s">
        <v>9963</v>
      </c>
      <c r="E20" s="790" t="s">
        <v>9964</v>
      </c>
      <c r="F20" s="770" t="s">
        <v>9965</v>
      </c>
      <c r="G20" s="927">
        <v>1</v>
      </c>
      <c r="H20" s="768" t="s">
        <v>66</v>
      </c>
      <c r="I20" s="768" t="s">
        <v>9947</v>
      </c>
      <c r="J20" s="768" t="s">
        <v>289</v>
      </c>
      <c r="K20" s="768" t="s">
        <v>9222</v>
      </c>
      <c r="L20" s="768" t="s">
        <v>8467</v>
      </c>
      <c r="M20" s="790"/>
      <c r="N20" s="790" t="s">
        <v>9948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9905</v>
      </c>
      <c r="B21" s="767" t="s">
        <v>9923</v>
      </c>
      <c r="C21" s="768">
        <v>202604</v>
      </c>
      <c r="D21" s="772" t="s">
        <v>9966</v>
      </c>
      <c r="E21" s="790" t="s">
        <v>9967</v>
      </c>
      <c r="F21" s="770" t="s">
        <v>9968</v>
      </c>
      <c r="G21" s="927">
        <v>1</v>
      </c>
      <c r="H21" s="768" t="s">
        <v>66</v>
      </c>
      <c r="I21" s="768" t="s">
        <v>9947</v>
      </c>
      <c r="J21" s="768" t="s">
        <v>289</v>
      </c>
      <c r="K21" s="768" t="s">
        <v>9222</v>
      </c>
      <c r="L21" s="768" t="s">
        <v>8467</v>
      </c>
      <c r="M21" s="790"/>
      <c r="N21" s="790" t="s">
        <v>9948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9905</v>
      </c>
      <c r="B22" s="767" t="s">
        <v>9923</v>
      </c>
      <c r="C22" s="768">
        <v>202604</v>
      </c>
      <c r="D22" s="772" t="s">
        <v>9969</v>
      </c>
      <c r="E22" s="790" t="s">
        <v>9961</v>
      </c>
      <c r="F22" s="770" t="s">
        <v>9970</v>
      </c>
      <c r="G22" s="927">
        <v>2</v>
      </c>
      <c r="H22" s="768" t="s">
        <v>66</v>
      </c>
      <c r="I22" s="768" t="s">
        <v>9947</v>
      </c>
      <c r="J22" s="768" t="s">
        <v>289</v>
      </c>
      <c r="K22" s="768" t="s">
        <v>9222</v>
      </c>
      <c r="L22" s="768" t="s">
        <v>8467</v>
      </c>
      <c r="M22" s="790"/>
      <c r="N22" s="790" t="s">
        <v>9948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9905</v>
      </c>
      <c r="B23" s="767" t="s">
        <v>9923</v>
      </c>
      <c r="C23" s="768">
        <v>202604</v>
      </c>
      <c r="D23" s="772" t="s">
        <v>9971</v>
      </c>
      <c r="E23" s="790" t="s">
        <v>9961</v>
      </c>
      <c r="F23" s="770" t="s">
        <v>9972</v>
      </c>
      <c r="G23" s="927">
        <v>1</v>
      </c>
      <c r="H23" s="768" t="s">
        <v>66</v>
      </c>
      <c r="I23" s="768" t="s">
        <v>9947</v>
      </c>
      <c r="J23" s="768" t="s">
        <v>289</v>
      </c>
      <c r="K23" s="768" t="s">
        <v>9222</v>
      </c>
      <c r="L23" s="768" t="s">
        <v>8467</v>
      </c>
      <c r="M23" s="790"/>
      <c r="N23" s="790" t="s">
        <v>9948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9905</v>
      </c>
      <c r="B24" s="767" t="s">
        <v>9923</v>
      </c>
      <c r="C24" s="768">
        <v>202604</v>
      </c>
      <c r="D24" s="772" t="s">
        <v>9973</v>
      </c>
      <c r="E24" s="790" t="s">
        <v>9974</v>
      </c>
      <c r="F24" s="770" t="s">
        <v>9975</v>
      </c>
      <c r="G24" s="927">
        <v>1</v>
      </c>
      <c r="H24" s="768" t="s">
        <v>66</v>
      </c>
      <c r="I24" s="768" t="s">
        <v>9947</v>
      </c>
      <c r="J24" s="768" t="s">
        <v>289</v>
      </c>
      <c r="K24" s="768" t="s">
        <v>9222</v>
      </c>
      <c r="L24" s="768" t="s">
        <v>8467</v>
      </c>
      <c r="M24" s="790"/>
      <c r="N24" s="790" t="s">
        <v>9948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9905</v>
      </c>
      <c r="B25" s="767" t="s">
        <v>9923</v>
      </c>
      <c r="C25" s="768">
        <v>202604</v>
      </c>
      <c r="D25" s="772" t="s">
        <v>9976</v>
      </c>
      <c r="E25" s="790" t="s">
        <v>9977</v>
      </c>
      <c r="F25" s="770" t="s">
        <v>9978</v>
      </c>
      <c r="G25" s="927">
        <v>2</v>
      </c>
      <c r="H25" s="768" t="s">
        <v>66</v>
      </c>
      <c r="I25" s="768" t="s">
        <v>9947</v>
      </c>
      <c r="J25" s="768" t="s">
        <v>289</v>
      </c>
      <c r="K25" s="768" t="s">
        <v>9222</v>
      </c>
      <c r="L25" s="768" t="s">
        <v>8467</v>
      </c>
      <c r="M25" s="790"/>
      <c r="N25" s="790" t="s">
        <v>9948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9905</v>
      </c>
      <c r="B26" s="767" t="s">
        <v>9923</v>
      </c>
      <c r="C26" s="768">
        <v>202604</v>
      </c>
      <c r="D26" s="772" t="s">
        <v>9979</v>
      </c>
      <c r="E26" s="790" t="s">
        <v>9980</v>
      </c>
      <c r="F26" s="770" t="s">
        <v>9981</v>
      </c>
      <c r="G26" s="927">
        <v>1</v>
      </c>
      <c r="H26" s="768" t="s">
        <v>66</v>
      </c>
      <c r="I26" s="768" t="s">
        <v>9947</v>
      </c>
      <c r="J26" s="768" t="s">
        <v>289</v>
      </c>
      <c r="K26" s="768" t="s">
        <v>9222</v>
      </c>
      <c r="L26" s="768" t="s">
        <v>8467</v>
      </c>
      <c r="M26" s="790"/>
      <c r="N26" s="790" t="s">
        <v>9948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9905</v>
      </c>
      <c r="B27" s="767" t="s">
        <v>9923</v>
      </c>
      <c r="C27" s="768">
        <v>202604</v>
      </c>
      <c r="D27" s="772" t="s">
        <v>9982</v>
      </c>
      <c r="E27" s="790" t="s">
        <v>9952</v>
      </c>
      <c r="F27" s="770" t="s">
        <v>9983</v>
      </c>
      <c r="G27" s="927">
        <v>2</v>
      </c>
      <c r="H27" s="768" t="s">
        <v>66</v>
      </c>
      <c r="I27" s="768" t="s">
        <v>9947</v>
      </c>
      <c r="J27" s="768" t="s">
        <v>289</v>
      </c>
      <c r="K27" s="768" t="s">
        <v>9222</v>
      </c>
      <c r="L27" s="768" t="s">
        <v>8467</v>
      </c>
      <c r="M27" s="790"/>
      <c r="N27" s="790" t="s">
        <v>9948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9905</v>
      </c>
      <c r="B28" s="767" t="s">
        <v>9923</v>
      </c>
      <c r="C28" s="768">
        <v>202604</v>
      </c>
      <c r="D28" s="772" t="s">
        <v>9984</v>
      </c>
      <c r="E28" s="790" t="s">
        <v>9985</v>
      </c>
      <c r="F28" s="770" t="s">
        <v>9986</v>
      </c>
      <c r="G28" s="927">
        <v>1</v>
      </c>
      <c r="H28" s="768" t="s">
        <v>66</v>
      </c>
      <c r="I28" s="768" t="s">
        <v>9947</v>
      </c>
      <c r="J28" s="768" t="s">
        <v>289</v>
      </c>
      <c r="K28" s="768" t="s">
        <v>9222</v>
      </c>
      <c r="L28" s="768" t="s">
        <v>8467</v>
      </c>
      <c r="M28" s="792"/>
      <c r="N28" s="790" t="s">
        <v>9948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9905</v>
      </c>
      <c r="B29" s="767" t="s">
        <v>9923</v>
      </c>
      <c r="C29" s="768">
        <v>202604</v>
      </c>
      <c r="D29" s="773" t="s">
        <v>9987</v>
      </c>
      <c r="E29" s="771" t="s">
        <v>9988</v>
      </c>
      <c r="F29" s="771" t="s">
        <v>9989</v>
      </c>
      <c r="G29" s="772">
        <v>1</v>
      </c>
      <c r="H29" s="768" t="s">
        <v>66</v>
      </c>
      <c r="I29" s="768" t="s">
        <v>9947</v>
      </c>
      <c r="J29" s="768" t="s">
        <v>289</v>
      </c>
      <c r="K29" s="794" t="s">
        <v>9222</v>
      </c>
      <c r="L29" s="768" t="s">
        <v>8467</v>
      </c>
      <c r="M29" s="790" t="s">
        <v>9990</v>
      </c>
      <c r="N29" s="790" t="s">
        <v>9991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9905</v>
      </c>
      <c r="B30" s="767" t="s">
        <v>9923</v>
      </c>
      <c r="C30" s="768">
        <v>202604</v>
      </c>
      <c r="D30" s="773" t="s">
        <v>9992</v>
      </c>
      <c r="E30" s="771" t="s">
        <v>9993</v>
      </c>
      <c r="F30" s="771" t="s">
        <v>9994</v>
      </c>
      <c r="G30" s="772">
        <v>1</v>
      </c>
      <c r="H30" s="768" t="s">
        <v>66</v>
      </c>
      <c r="I30" s="768" t="s">
        <v>9947</v>
      </c>
      <c r="J30" s="768" t="s">
        <v>289</v>
      </c>
      <c r="K30" s="794" t="s">
        <v>9222</v>
      </c>
      <c r="L30" s="768" t="s">
        <v>8467</v>
      </c>
      <c r="M30" s="790" t="s">
        <v>9990</v>
      </c>
      <c r="N30" s="790" t="s">
        <v>9991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9905</v>
      </c>
      <c r="B31" s="767" t="s">
        <v>9923</v>
      </c>
      <c r="C31" s="768">
        <v>202604</v>
      </c>
      <c r="D31" s="773" t="s">
        <v>9995</v>
      </c>
      <c r="E31" s="771" t="s">
        <v>9996</v>
      </c>
      <c r="F31" s="771" t="s">
        <v>9997</v>
      </c>
      <c r="G31" s="772">
        <v>1</v>
      </c>
      <c r="H31" s="768" t="s">
        <v>66</v>
      </c>
      <c r="I31" s="768" t="s">
        <v>9947</v>
      </c>
      <c r="J31" s="768" t="s">
        <v>289</v>
      </c>
      <c r="K31" s="794" t="s">
        <v>9222</v>
      </c>
      <c r="L31" s="768" t="s">
        <v>8467</v>
      </c>
      <c r="M31" s="790" t="s">
        <v>9990</v>
      </c>
      <c r="N31" s="790" t="s">
        <v>9991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9905</v>
      </c>
      <c r="B32" s="767" t="s">
        <v>9923</v>
      </c>
      <c r="C32" s="768">
        <v>202604</v>
      </c>
      <c r="D32" s="773" t="s">
        <v>9998</v>
      </c>
      <c r="E32" s="771" t="s">
        <v>9993</v>
      </c>
      <c r="F32" s="771" t="s">
        <v>9999</v>
      </c>
      <c r="G32" s="772">
        <v>1</v>
      </c>
      <c r="H32" s="768" t="s">
        <v>66</v>
      </c>
      <c r="I32" s="768" t="s">
        <v>9947</v>
      </c>
      <c r="J32" s="768" t="s">
        <v>289</v>
      </c>
      <c r="K32" s="794" t="s">
        <v>9222</v>
      </c>
      <c r="L32" s="768" t="s">
        <v>8467</v>
      </c>
      <c r="M32" s="790" t="s">
        <v>9990</v>
      </c>
      <c r="N32" s="790" t="s">
        <v>9991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9905</v>
      </c>
      <c r="B33" s="767" t="s">
        <v>9923</v>
      </c>
      <c r="C33" s="768">
        <v>202604</v>
      </c>
      <c r="D33" s="773" t="s">
        <v>10000</v>
      </c>
      <c r="E33" s="771" t="s">
        <v>10001</v>
      </c>
      <c r="F33" s="771" t="s">
        <v>10002</v>
      </c>
      <c r="G33" s="772">
        <v>1</v>
      </c>
      <c r="H33" s="768" t="s">
        <v>66</v>
      </c>
      <c r="I33" s="768" t="s">
        <v>9947</v>
      </c>
      <c r="J33" s="768" t="s">
        <v>289</v>
      </c>
      <c r="K33" s="794" t="s">
        <v>9222</v>
      </c>
      <c r="L33" s="768" t="s">
        <v>8467</v>
      </c>
      <c r="M33" s="790" t="s">
        <v>9990</v>
      </c>
      <c r="N33" s="790" t="s">
        <v>9991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9905</v>
      </c>
      <c r="B34" s="767" t="s">
        <v>9923</v>
      </c>
      <c r="C34" s="768">
        <v>202604</v>
      </c>
      <c r="D34" s="773" t="s">
        <v>10003</v>
      </c>
      <c r="E34" s="771" t="s">
        <v>10004</v>
      </c>
      <c r="F34" s="771" t="s">
        <v>10005</v>
      </c>
      <c r="G34" s="772">
        <v>1</v>
      </c>
      <c r="H34" s="768" t="s">
        <v>66</v>
      </c>
      <c r="I34" s="768" t="s">
        <v>9947</v>
      </c>
      <c r="J34" s="768" t="s">
        <v>289</v>
      </c>
      <c r="K34" s="794" t="s">
        <v>9222</v>
      </c>
      <c r="L34" s="768" t="s">
        <v>8467</v>
      </c>
      <c r="M34" s="790" t="s">
        <v>9990</v>
      </c>
      <c r="N34" s="790" t="s">
        <v>9991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9905</v>
      </c>
      <c r="B35" s="767" t="s">
        <v>9923</v>
      </c>
      <c r="C35" s="768">
        <v>202604</v>
      </c>
      <c r="D35" s="773" t="s">
        <v>10006</v>
      </c>
      <c r="E35" s="771" t="s">
        <v>10007</v>
      </c>
      <c r="F35" s="771" t="s">
        <v>10008</v>
      </c>
      <c r="G35" s="772">
        <v>1</v>
      </c>
      <c r="H35" s="768" t="s">
        <v>66</v>
      </c>
      <c r="I35" s="768" t="s">
        <v>9947</v>
      </c>
      <c r="J35" s="768" t="s">
        <v>289</v>
      </c>
      <c r="K35" s="794" t="s">
        <v>9222</v>
      </c>
      <c r="L35" s="768" t="s">
        <v>8467</v>
      </c>
      <c r="M35" s="790" t="s">
        <v>9990</v>
      </c>
      <c r="N35" s="790" t="s">
        <v>9991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9905</v>
      </c>
      <c r="B36" s="767" t="s">
        <v>9923</v>
      </c>
      <c r="C36" s="768">
        <v>202604</v>
      </c>
      <c r="D36" s="773" t="s">
        <v>10009</v>
      </c>
      <c r="E36" s="771" t="s">
        <v>10010</v>
      </c>
      <c r="F36" s="771" t="s">
        <v>10011</v>
      </c>
      <c r="G36" s="772">
        <v>1</v>
      </c>
      <c r="H36" s="768" t="s">
        <v>66</v>
      </c>
      <c r="I36" s="768" t="s">
        <v>9947</v>
      </c>
      <c r="J36" s="768" t="s">
        <v>289</v>
      </c>
      <c r="K36" s="794" t="s">
        <v>9222</v>
      </c>
      <c r="L36" s="768" t="s">
        <v>8467</v>
      </c>
      <c r="M36" s="790" t="s">
        <v>9990</v>
      </c>
      <c r="N36" s="790" t="s">
        <v>9991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9905</v>
      </c>
      <c r="B37" s="767" t="s">
        <v>9923</v>
      </c>
      <c r="C37" s="768">
        <v>202604</v>
      </c>
      <c r="D37" s="773" t="s">
        <v>10012</v>
      </c>
      <c r="E37" s="771" t="s">
        <v>10010</v>
      </c>
      <c r="F37" s="771" t="s">
        <v>10013</v>
      </c>
      <c r="G37" s="772">
        <v>1</v>
      </c>
      <c r="H37" s="768" t="s">
        <v>66</v>
      </c>
      <c r="I37" s="768" t="s">
        <v>9947</v>
      </c>
      <c r="J37" s="768" t="s">
        <v>289</v>
      </c>
      <c r="K37" s="794" t="s">
        <v>9222</v>
      </c>
      <c r="L37" s="768" t="s">
        <v>8467</v>
      </c>
      <c r="M37" s="790" t="s">
        <v>9990</v>
      </c>
      <c r="N37" s="790" t="s">
        <v>9991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9905</v>
      </c>
      <c r="B38" s="767" t="s">
        <v>9923</v>
      </c>
      <c r="C38" s="768">
        <v>202604</v>
      </c>
      <c r="D38" s="773" t="s">
        <v>10014</v>
      </c>
      <c r="E38" s="771" t="s">
        <v>9958</v>
      </c>
      <c r="F38" s="771" t="s">
        <v>10015</v>
      </c>
      <c r="G38" s="772">
        <v>1</v>
      </c>
      <c r="H38" s="768" t="s">
        <v>66</v>
      </c>
      <c r="I38" s="768" t="s">
        <v>9947</v>
      </c>
      <c r="J38" s="768" t="s">
        <v>289</v>
      </c>
      <c r="K38" s="794" t="s">
        <v>9222</v>
      </c>
      <c r="L38" s="768" t="s">
        <v>8467</v>
      </c>
      <c r="M38" s="790" t="s">
        <v>9990</v>
      </c>
      <c r="N38" s="790" t="s">
        <v>9991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9905</v>
      </c>
      <c r="B39" s="767" t="s">
        <v>9923</v>
      </c>
      <c r="C39" s="768">
        <v>202604</v>
      </c>
      <c r="D39" s="773" t="s">
        <v>10016</v>
      </c>
      <c r="E39" s="771" t="s">
        <v>10017</v>
      </c>
      <c r="F39" s="771" t="s">
        <v>10018</v>
      </c>
      <c r="G39" s="772">
        <v>1</v>
      </c>
      <c r="H39" s="768" t="s">
        <v>66</v>
      </c>
      <c r="I39" s="768" t="s">
        <v>9947</v>
      </c>
      <c r="J39" s="768" t="s">
        <v>289</v>
      </c>
      <c r="K39" s="794" t="s">
        <v>9222</v>
      </c>
      <c r="L39" s="768" t="s">
        <v>8467</v>
      </c>
      <c r="M39" s="790" t="s">
        <v>9990</v>
      </c>
      <c r="N39" s="790" t="s">
        <v>9991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9905</v>
      </c>
      <c r="B40" s="767" t="s">
        <v>9923</v>
      </c>
      <c r="C40" s="768">
        <v>202604</v>
      </c>
      <c r="D40" s="773" t="s">
        <v>10019</v>
      </c>
      <c r="E40" s="771" t="s">
        <v>10020</v>
      </c>
      <c r="F40" s="771" t="s">
        <v>10021</v>
      </c>
      <c r="G40" s="772">
        <v>1</v>
      </c>
      <c r="H40" s="768" t="s">
        <v>66</v>
      </c>
      <c r="I40" s="768" t="s">
        <v>9947</v>
      </c>
      <c r="J40" s="768" t="s">
        <v>289</v>
      </c>
      <c r="K40" s="794" t="s">
        <v>9222</v>
      </c>
      <c r="L40" s="768" t="s">
        <v>8467</v>
      </c>
      <c r="M40" s="790" t="s">
        <v>9990</v>
      </c>
      <c r="N40" s="790" t="s">
        <v>9991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9905</v>
      </c>
      <c r="B41" s="767" t="s">
        <v>9923</v>
      </c>
      <c r="C41" s="768">
        <v>202604</v>
      </c>
      <c r="D41" s="773" t="s">
        <v>10022</v>
      </c>
      <c r="E41" s="771" t="s">
        <v>10023</v>
      </c>
      <c r="F41" s="771" t="s">
        <v>10024</v>
      </c>
      <c r="G41" s="772">
        <v>1</v>
      </c>
      <c r="H41" s="768" t="s">
        <v>66</v>
      </c>
      <c r="I41" s="768" t="s">
        <v>9947</v>
      </c>
      <c r="J41" s="768" t="s">
        <v>289</v>
      </c>
      <c r="K41" s="794" t="s">
        <v>9222</v>
      </c>
      <c r="L41" s="768" t="s">
        <v>8467</v>
      </c>
      <c r="M41" s="790" t="s">
        <v>9990</v>
      </c>
      <c r="N41" s="790" t="s">
        <v>9991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9905</v>
      </c>
      <c r="B42" s="767" t="s">
        <v>9923</v>
      </c>
      <c r="C42" s="768">
        <v>202604</v>
      </c>
      <c r="D42" s="773" t="s">
        <v>10025</v>
      </c>
      <c r="E42" s="771" t="s">
        <v>10026</v>
      </c>
      <c r="F42" s="771" t="s">
        <v>10027</v>
      </c>
      <c r="G42" s="772">
        <v>1</v>
      </c>
      <c r="H42" s="768" t="s">
        <v>66</v>
      </c>
      <c r="I42" s="768" t="s">
        <v>9947</v>
      </c>
      <c r="J42" s="768" t="s">
        <v>289</v>
      </c>
      <c r="K42" s="794" t="s">
        <v>9222</v>
      </c>
      <c r="L42" s="768" t="s">
        <v>8467</v>
      </c>
      <c r="M42" s="790" t="s">
        <v>9990</v>
      </c>
      <c r="N42" s="790" t="s">
        <v>9991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9905</v>
      </c>
      <c r="B43" s="796" t="s">
        <v>9923</v>
      </c>
      <c r="C43" s="797">
        <v>202604</v>
      </c>
      <c r="D43" s="798" t="s">
        <v>10028</v>
      </c>
      <c r="E43" s="799" t="s">
        <v>10029</v>
      </c>
      <c r="F43" s="799" t="s">
        <v>10030</v>
      </c>
      <c r="G43" s="800">
        <v>1</v>
      </c>
      <c r="H43" s="797" t="s">
        <v>66</v>
      </c>
      <c r="I43" s="797" t="s">
        <v>9947</v>
      </c>
      <c r="J43" s="797" t="s">
        <v>289</v>
      </c>
      <c r="K43" s="801" t="s">
        <v>9222</v>
      </c>
      <c r="L43" s="797" t="s">
        <v>8467</v>
      </c>
      <c r="M43" s="802" t="s">
        <v>9990</v>
      </c>
      <c r="N43" s="802" t="s">
        <v>9991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9905</v>
      </c>
      <c r="B44" s="767" t="s">
        <v>9923</v>
      </c>
      <c r="C44" s="768">
        <v>202604</v>
      </c>
      <c r="D44" s="773" t="s">
        <v>10031</v>
      </c>
      <c r="E44" s="771" t="s">
        <v>10032</v>
      </c>
      <c r="F44" s="771" t="s">
        <v>10033</v>
      </c>
      <c r="G44" s="805">
        <v>1</v>
      </c>
      <c r="H44" s="768" t="s">
        <v>66</v>
      </c>
      <c r="I44" s="768" t="s">
        <v>9947</v>
      </c>
      <c r="J44" s="768" t="s">
        <v>289</v>
      </c>
      <c r="K44" s="794" t="s">
        <v>9222</v>
      </c>
      <c r="L44" s="768" t="s">
        <v>8467</v>
      </c>
      <c r="M44" s="790" t="s">
        <v>9990</v>
      </c>
      <c r="N44" s="790" t="s">
        <v>9991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9905</v>
      </c>
      <c r="B45" s="767" t="s">
        <v>9923</v>
      </c>
      <c r="C45" s="768">
        <v>202604</v>
      </c>
      <c r="D45" s="773" t="s">
        <v>10034</v>
      </c>
      <c r="E45" s="771" t="s">
        <v>10035</v>
      </c>
      <c r="F45" s="771" t="s">
        <v>10036</v>
      </c>
      <c r="G45" s="805">
        <v>1</v>
      </c>
      <c r="H45" s="768" t="s">
        <v>66</v>
      </c>
      <c r="I45" s="768" t="s">
        <v>9947</v>
      </c>
      <c r="J45" s="768" t="s">
        <v>289</v>
      </c>
      <c r="K45" s="794" t="s">
        <v>9222</v>
      </c>
      <c r="L45" s="768" t="s">
        <v>8467</v>
      </c>
      <c r="M45" s="790" t="s">
        <v>9990</v>
      </c>
      <c r="N45" s="790" t="s">
        <v>9991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9905</v>
      </c>
      <c r="B46" s="767" t="s">
        <v>9923</v>
      </c>
      <c r="C46" s="768">
        <v>202604</v>
      </c>
      <c r="D46" s="773" t="s">
        <v>10037</v>
      </c>
      <c r="E46" s="771" t="s">
        <v>10038</v>
      </c>
      <c r="F46" s="771" t="s">
        <v>10039</v>
      </c>
      <c r="G46" s="772">
        <v>1</v>
      </c>
      <c r="H46" s="768" t="s">
        <v>66</v>
      </c>
      <c r="I46" s="768" t="s">
        <v>9947</v>
      </c>
      <c r="J46" s="768" t="s">
        <v>289</v>
      </c>
      <c r="K46" s="794" t="s">
        <v>9222</v>
      </c>
      <c r="L46" s="768" t="s">
        <v>8467</v>
      </c>
      <c r="M46" s="790" t="s">
        <v>9990</v>
      </c>
      <c r="N46" s="790" t="s">
        <v>9991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9905</v>
      </c>
      <c r="B47" s="767" t="s">
        <v>9923</v>
      </c>
      <c r="C47" s="768">
        <v>202604</v>
      </c>
      <c r="D47" s="773" t="s">
        <v>10040</v>
      </c>
      <c r="E47" s="771" t="s">
        <v>10041</v>
      </c>
      <c r="F47" s="771" t="s">
        <v>10042</v>
      </c>
      <c r="G47" s="772">
        <v>1</v>
      </c>
      <c r="H47" s="768" t="s">
        <v>66</v>
      </c>
      <c r="I47" s="768" t="s">
        <v>9947</v>
      </c>
      <c r="J47" s="768" t="s">
        <v>289</v>
      </c>
      <c r="K47" s="794" t="s">
        <v>9222</v>
      </c>
      <c r="L47" s="768" t="s">
        <v>8467</v>
      </c>
      <c r="M47" s="790" t="s">
        <v>9990</v>
      </c>
      <c r="N47" s="790" t="s">
        <v>9991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9905</v>
      </c>
      <c r="B48" s="767" t="s">
        <v>9923</v>
      </c>
      <c r="C48" s="768">
        <v>202604</v>
      </c>
      <c r="D48" s="773" t="s">
        <v>10043</v>
      </c>
      <c r="E48" s="771" t="s">
        <v>10044</v>
      </c>
      <c r="F48" s="771" t="s">
        <v>10045</v>
      </c>
      <c r="G48" s="772">
        <v>1</v>
      </c>
      <c r="H48" s="768" t="s">
        <v>66</v>
      </c>
      <c r="I48" s="768" t="s">
        <v>9947</v>
      </c>
      <c r="J48" s="768" t="s">
        <v>289</v>
      </c>
      <c r="K48" s="794" t="s">
        <v>9222</v>
      </c>
      <c r="L48" s="768" t="s">
        <v>8467</v>
      </c>
      <c r="M48" s="790" t="s">
        <v>9990</v>
      </c>
      <c r="N48" s="790" t="s">
        <v>9991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9905</v>
      </c>
      <c r="B49" s="767" t="s">
        <v>9923</v>
      </c>
      <c r="C49" s="768">
        <v>202604</v>
      </c>
      <c r="D49" s="773" t="s">
        <v>10046</v>
      </c>
      <c r="E49" s="771" t="s">
        <v>10047</v>
      </c>
      <c r="F49" s="771" t="s">
        <v>10048</v>
      </c>
      <c r="G49" s="772">
        <v>1</v>
      </c>
      <c r="H49" s="768" t="s">
        <v>66</v>
      </c>
      <c r="I49" s="768" t="s">
        <v>9947</v>
      </c>
      <c r="J49" s="768" t="s">
        <v>289</v>
      </c>
      <c r="K49" s="794" t="s">
        <v>9222</v>
      </c>
      <c r="L49" s="768" t="s">
        <v>8467</v>
      </c>
      <c r="M49" s="790" t="s">
        <v>9990</v>
      </c>
      <c r="N49" s="790" t="s">
        <v>9991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9905</v>
      </c>
      <c r="B50" s="767" t="s">
        <v>9923</v>
      </c>
      <c r="C50" s="768">
        <v>202604</v>
      </c>
      <c r="D50" s="773" t="s">
        <v>10049</v>
      </c>
      <c r="E50" s="771" t="s">
        <v>10050</v>
      </c>
      <c r="F50" s="771" t="s">
        <v>10051</v>
      </c>
      <c r="G50" s="772">
        <v>1</v>
      </c>
      <c r="H50" s="768" t="s">
        <v>66</v>
      </c>
      <c r="I50" s="768" t="s">
        <v>9947</v>
      </c>
      <c r="J50" s="768" t="s">
        <v>289</v>
      </c>
      <c r="K50" s="794" t="s">
        <v>9222</v>
      </c>
      <c r="L50" s="768" t="s">
        <v>8467</v>
      </c>
      <c r="M50" s="790" t="s">
        <v>9990</v>
      </c>
      <c r="N50" s="790" t="s">
        <v>9991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9905</v>
      </c>
      <c r="B51" s="776" t="s">
        <v>9923</v>
      </c>
      <c r="C51" s="777">
        <v>202604</v>
      </c>
      <c r="D51" s="807" t="s">
        <v>10052</v>
      </c>
      <c r="E51" s="780" t="s">
        <v>9980</v>
      </c>
      <c r="F51" s="780" t="s">
        <v>10053</v>
      </c>
      <c r="G51" s="781">
        <v>2</v>
      </c>
      <c r="H51" s="777" t="s">
        <v>66</v>
      </c>
      <c r="I51" s="777" t="s">
        <v>9947</v>
      </c>
      <c r="J51" s="777" t="s">
        <v>289</v>
      </c>
      <c r="K51" s="808" t="s">
        <v>9222</v>
      </c>
      <c r="L51" s="777" t="s">
        <v>8467</v>
      </c>
      <c r="M51" s="790" t="s">
        <v>9990</v>
      </c>
      <c r="N51" s="790" t="s">
        <v>9991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10054</v>
      </c>
      <c r="B52" s="810" t="s">
        <v>8357</v>
      </c>
      <c r="C52" s="809">
        <v>202604</v>
      </c>
      <c r="D52" s="809" t="s">
        <v>10055</v>
      </c>
      <c r="E52" s="811" t="s">
        <v>10056</v>
      </c>
      <c r="F52" s="812" t="s">
        <v>10057</v>
      </c>
      <c r="G52" s="809">
        <v>1</v>
      </c>
      <c r="H52" s="809" t="s">
        <v>146</v>
      </c>
      <c r="I52" s="809" t="s">
        <v>9947</v>
      </c>
      <c r="J52" s="809" t="s">
        <v>289</v>
      </c>
      <c r="K52" s="809" t="s">
        <v>7686</v>
      </c>
      <c r="L52" s="809" t="s">
        <v>10058</v>
      </c>
      <c r="M52" s="813" t="s">
        <v>10058</v>
      </c>
      <c r="N52" s="813" t="s">
        <v>10059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10054</v>
      </c>
      <c r="B53" s="810" t="s">
        <v>8357</v>
      </c>
      <c r="C53" s="809">
        <v>202604</v>
      </c>
      <c r="D53" s="809" t="s">
        <v>10060</v>
      </c>
      <c r="E53" s="811" t="s">
        <v>10061</v>
      </c>
      <c r="F53" s="812" t="s">
        <v>10062</v>
      </c>
      <c r="G53" s="809">
        <v>1</v>
      </c>
      <c r="H53" s="809" t="s">
        <v>146</v>
      </c>
      <c r="I53" s="809" t="s">
        <v>9947</v>
      </c>
      <c r="J53" s="809" t="s">
        <v>289</v>
      </c>
      <c r="K53" s="809" t="s">
        <v>7686</v>
      </c>
      <c r="L53" s="809" t="s">
        <v>10058</v>
      </c>
      <c r="M53" s="813" t="s">
        <v>10058</v>
      </c>
      <c r="N53" s="813" t="s">
        <v>10059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10054</v>
      </c>
      <c r="B54" s="817" t="s">
        <v>8357</v>
      </c>
      <c r="C54" s="816">
        <v>202604</v>
      </c>
      <c r="D54" s="816" t="s">
        <v>10063</v>
      </c>
      <c r="E54" s="818" t="s">
        <v>10061</v>
      </c>
      <c r="F54" s="818" t="s">
        <v>10064</v>
      </c>
      <c r="G54" s="816">
        <v>1</v>
      </c>
      <c r="H54" s="816" t="s">
        <v>146</v>
      </c>
      <c r="I54" s="816" t="s">
        <v>9947</v>
      </c>
      <c r="J54" s="816" t="s">
        <v>289</v>
      </c>
      <c r="K54" s="816" t="s">
        <v>7686</v>
      </c>
      <c r="L54" s="809" t="s">
        <v>10058</v>
      </c>
      <c r="M54" s="813" t="s">
        <v>10058</v>
      </c>
      <c r="N54" s="813" t="s">
        <v>10059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9905</v>
      </c>
      <c r="B55" s="821" t="s">
        <v>10065</v>
      </c>
      <c r="C55" s="820"/>
      <c r="D55" s="822" t="s">
        <v>10066</v>
      </c>
      <c r="E55" s="823" t="s">
        <v>10067</v>
      </c>
      <c r="F55" s="823" t="s">
        <v>10067</v>
      </c>
      <c r="G55" s="822">
        <v>3</v>
      </c>
      <c r="H55" s="820" t="s">
        <v>66</v>
      </c>
      <c r="I55" s="820" t="s">
        <v>9947</v>
      </c>
      <c r="J55" s="820" t="s">
        <v>123</v>
      </c>
      <c r="K55" s="820" t="s">
        <v>9222</v>
      </c>
      <c r="L55" s="820" t="s">
        <v>8358</v>
      </c>
      <c r="M55" s="824" t="s">
        <v>10068</v>
      </c>
      <c r="N55" s="824" t="s">
        <v>10069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9905</v>
      </c>
      <c r="B56" s="828" t="s">
        <v>8361</v>
      </c>
      <c r="C56" s="827"/>
      <c r="D56" s="829" t="s">
        <v>10070</v>
      </c>
      <c r="E56" s="830" t="s">
        <v>10071</v>
      </c>
      <c r="F56" s="830" t="s">
        <v>10071</v>
      </c>
      <c r="G56" s="829">
        <v>20</v>
      </c>
      <c r="H56" s="827" t="s">
        <v>66</v>
      </c>
      <c r="I56" s="827" t="s">
        <v>9947</v>
      </c>
      <c r="J56" s="827" t="s">
        <v>123</v>
      </c>
      <c r="K56" s="827" t="s">
        <v>9222</v>
      </c>
      <c r="L56" s="827" t="s">
        <v>8358</v>
      </c>
      <c r="M56" s="824" t="s">
        <v>10068</v>
      </c>
      <c r="N56" s="831" t="s">
        <v>10069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10054</v>
      </c>
      <c r="B57" s="810" t="s">
        <v>8357</v>
      </c>
      <c r="C57" s="809">
        <v>202604</v>
      </c>
      <c r="D57" s="809" t="s">
        <v>10055</v>
      </c>
      <c r="E57" s="811" t="s">
        <v>10056</v>
      </c>
      <c r="F57" s="812" t="s">
        <v>10057</v>
      </c>
      <c r="G57" s="809">
        <v>2</v>
      </c>
      <c r="H57" s="809" t="s">
        <v>146</v>
      </c>
      <c r="I57" s="809" t="s">
        <v>9947</v>
      </c>
      <c r="J57" s="809" t="s">
        <v>289</v>
      </c>
      <c r="K57" s="809" t="s">
        <v>10072</v>
      </c>
      <c r="L57" s="809" t="s">
        <v>10073</v>
      </c>
      <c r="M57" s="813" t="s">
        <v>10073</v>
      </c>
      <c r="N57" s="813" t="s">
        <v>10074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10054</v>
      </c>
      <c r="B58" s="810" t="s">
        <v>8357</v>
      </c>
      <c r="C58" s="809">
        <v>202604</v>
      </c>
      <c r="D58" s="809" t="s">
        <v>10060</v>
      </c>
      <c r="E58" s="811" t="s">
        <v>10061</v>
      </c>
      <c r="F58" s="812" t="s">
        <v>10062</v>
      </c>
      <c r="G58" s="809">
        <v>2</v>
      </c>
      <c r="H58" s="816" t="s">
        <v>146</v>
      </c>
      <c r="I58" s="816" t="s">
        <v>9947</v>
      </c>
      <c r="J58" s="809" t="s">
        <v>289</v>
      </c>
      <c r="K58" s="809" t="s">
        <v>10072</v>
      </c>
      <c r="L58" s="809" t="s">
        <v>10073</v>
      </c>
      <c r="M58" s="813" t="s">
        <v>10073</v>
      </c>
      <c r="N58" s="813" t="s">
        <v>10074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10054</v>
      </c>
      <c r="B59" s="817" t="s">
        <v>8357</v>
      </c>
      <c r="C59" s="816">
        <v>202604</v>
      </c>
      <c r="D59" s="816" t="s">
        <v>10063</v>
      </c>
      <c r="E59" s="818" t="s">
        <v>10061</v>
      </c>
      <c r="F59" s="818" t="s">
        <v>10064</v>
      </c>
      <c r="G59" s="833">
        <v>2</v>
      </c>
      <c r="H59" s="816" t="s">
        <v>146</v>
      </c>
      <c r="I59" s="816" t="s">
        <v>9947</v>
      </c>
      <c r="J59" s="816" t="s">
        <v>289</v>
      </c>
      <c r="K59" s="816" t="s">
        <v>10072</v>
      </c>
      <c r="L59" s="816" t="s">
        <v>10073</v>
      </c>
      <c r="M59" s="813" t="s">
        <v>10073</v>
      </c>
      <c r="N59" s="813" t="s">
        <v>10074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9905</v>
      </c>
      <c r="B60" s="552" t="s">
        <v>8357</v>
      </c>
      <c r="C60" s="766"/>
      <c r="D60" s="772" t="s">
        <v>10075</v>
      </c>
      <c r="E60" s="928" t="s">
        <v>10076</v>
      </c>
      <c r="F60" s="834" t="s">
        <v>10077</v>
      </c>
      <c r="G60" s="929">
        <v>1</v>
      </c>
      <c r="H60" s="768" t="s">
        <v>66</v>
      </c>
      <c r="I60" s="768" t="s">
        <v>9947</v>
      </c>
      <c r="J60" s="768" t="s">
        <v>289</v>
      </c>
      <c r="K60" s="930" t="s">
        <v>10078</v>
      </c>
      <c r="L60" s="768" t="s">
        <v>8355</v>
      </c>
      <c r="M60" s="854" t="s">
        <v>10079</v>
      </c>
      <c r="N60" s="854" t="s">
        <v>10080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9905</v>
      </c>
      <c r="B61" s="552" t="s">
        <v>8357</v>
      </c>
      <c r="C61" s="766"/>
      <c r="D61" s="772" t="s">
        <v>10055</v>
      </c>
      <c r="E61" s="928" t="s">
        <v>10081</v>
      </c>
      <c r="F61" s="834" t="s">
        <v>10082</v>
      </c>
      <c r="G61" s="929">
        <v>5</v>
      </c>
      <c r="H61" s="768" t="s">
        <v>66</v>
      </c>
      <c r="I61" s="768" t="s">
        <v>9947</v>
      </c>
      <c r="J61" s="768" t="s">
        <v>289</v>
      </c>
      <c r="K61" s="930" t="s">
        <v>10078</v>
      </c>
      <c r="L61" s="768" t="s">
        <v>8355</v>
      </c>
      <c r="M61" s="854" t="s">
        <v>10079</v>
      </c>
      <c r="N61" s="854" t="s">
        <v>10080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9905</v>
      </c>
      <c r="B62" s="552" t="s">
        <v>8357</v>
      </c>
      <c r="C62" s="766"/>
      <c r="D62" s="772" t="s">
        <v>10060</v>
      </c>
      <c r="E62" s="928" t="s">
        <v>10083</v>
      </c>
      <c r="F62" s="834" t="s">
        <v>10084</v>
      </c>
      <c r="G62" s="929">
        <v>7</v>
      </c>
      <c r="H62" s="768" t="s">
        <v>66</v>
      </c>
      <c r="I62" s="768" t="s">
        <v>9947</v>
      </c>
      <c r="J62" s="768" t="s">
        <v>289</v>
      </c>
      <c r="K62" s="930" t="s">
        <v>10078</v>
      </c>
      <c r="L62" s="768" t="s">
        <v>8355</v>
      </c>
      <c r="M62" s="854" t="s">
        <v>10079</v>
      </c>
      <c r="N62" s="854" t="s">
        <v>10080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9905</v>
      </c>
      <c r="B63" s="552" t="s">
        <v>8357</v>
      </c>
      <c r="C63" s="766"/>
      <c r="D63" s="772" t="s">
        <v>10063</v>
      </c>
      <c r="E63" s="931" t="s">
        <v>10085</v>
      </c>
      <c r="F63" s="834" t="s">
        <v>10086</v>
      </c>
      <c r="G63" s="929">
        <v>7</v>
      </c>
      <c r="H63" s="768" t="s">
        <v>66</v>
      </c>
      <c r="I63" s="768" t="s">
        <v>9947</v>
      </c>
      <c r="J63" s="768" t="s">
        <v>289</v>
      </c>
      <c r="K63" s="930" t="s">
        <v>10078</v>
      </c>
      <c r="L63" s="768" t="s">
        <v>8355</v>
      </c>
      <c r="M63" s="854" t="s">
        <v>10079</v>
      </c>
      <c r="N63" s="854" t="s">
        <v>10080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9905</v>
      </c>
      <c r="B64" s="563" t="s">
        <v>8357</v>
      </c>
      <c r="C64" s="806"/>
      <c r="D64" s="781" t="s">
        <v>10087</v>
      </c>
      <c r="E64" s="932" t="s">
        <v>10088</v>
      </c>
      <c r="F64" s="836" t="s">
        <v>10089</v>
      </c>
      <c r="G64" s="933">
        <v>1</v>
      </c>
      <c r="H64" s="777" t="s">
        <v>66</v>
      </c>
      <c r="I64" s="777" t="s">
        <v>9947</v>
      </c>
      <c r="J64" s="777" t="s">
        <v>289</v>
      </c>
      <c r="K64" s="934" t="s">
        <v>10078</v>
      </c>
      <c r="L64" s="777" t="s">
        <v>8355</v>
      </c>
      <c r="M64" s="855" t="s">
        <v>10079</v>
      </c>
      <c r="N64" s="855" t="s">
        <v>10080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10054</v>
      </c>
      <c r="B65" s="810" t="s">
        <v>10090</v>
      </c>
      <c r="C65" s="840"/>
      <c r="D65" s="809" t="s">
        <v>7561</v>
      </c>
      <c r="E65" s="839" t="s">
        <v>10057</v>
      </c>
      <c r="F65" s="839" t="s">
        <v>10057</v>
      </c>
      <c r="G65" s="840">
        <v>2</v>
      </c>
      <c r="H65" s="841" t="s">
        <v>402</v>
      </c>
      <c r="I65" s="841" t="s">
        <v>9947</v>
      </c>
      <c r="J65" s="809" t="s">
        <v>122</v>
      </c>
      <c r="K65" s="838" t="s">
        <v>10091</v>
      </c>
      <c r="L65" s="809" t="s">
        <v>10073</v>
      </c>
      <c r="M65" s="810" t="s">
        <v>10092</v>
      </c>
      <c r="N65" s="1138" t="s">
        <v>10093</v>
      </c>
      <c r="O65" s="1139">
        <v>46218</v>
      </c>
      <c r="P65" s="1139">
        <v>46226</v>
      </c>
      <c r="Q65" s="1139">
        <v>46234</v>
      </c>
    </row>
    <row r="66" spans="1:17" ht="16.5" customHeight="1">
      <c r="A66" s="833" t="s">
        <v>10054</v>
      </c>
      <c r="B66" s="810" t="s">
        <v>10090</v>
      </c>
      <c r="C66" s="840"/>
      <c r="D66" s="809" t="s">
        <v>7569</v>
      </c>
      <c r="E66" s="839" t="s">
        <v>10062</v>
      </c>
      <c r="F66" s="839" t="s">
        <v>10062</v>
      </c>
      <c r="G66" s="840">
        <v>2</v>
      </c>
      <c r="H66" s="841" t="s">
        <v>402</v>
      </c>
      <c r="I66" s="841" t="s">
        <v>9947</v>
      </c>
      <c r="J66" s="809" t="s">
        <v>122</v>
      </c>
      <c r="K66" s="838" t="s">
        <v>10091</v>
      </c>
      <c r="L66" s="809" t="s">
        <v>10073</v>
      </c>
      <c r="M66" s="810" t="s">
        <v>10092</v>
      </c>
      <c r="N66" s="1138" t="s">
        <v>10093</v>
      </c>
      <c r="O66" s="1139">
        <v>46218</v>
      </c>
      <c r="P66" s="1139">
        <v>46226</v>
      </c>
      <c r="Q66" s="1139">
        <v>46234</v>
      </c>
    </row>
    <row r="67" spans="1:17" ht="15.75" customHeight="1">
      <c r="A67" s="809" t="s">
        <v>10054</v>
      </c>
      <c r="B67" s="842" t="s">
        <v>10090</v>
      </c>
      <c r="C67" s="840"/>
      <c r="D67" s="809" t="s">
        <v>7573</v>
      </c>
      <c r="E67" s="839" t="s">
        <v>10064</v>
      </c>
      <c r="F67" s="839" t="s">
        <v>10064</v>
      </c>
      <c r="G67" s="843">
        <v>2</v>
      </c>
      <c r="H67" s="844" t="s">
        <v>402</v>
      </c>
      <c r="I67" s="844" t="s">
        <v>9947</v>
      </c>
      <c r="J67" s="809" t="s">
        <v>122</v>
      </c>
      <c r="K67" s="833" t="s">
        <v>10091</v>
      </c>
      <c r="L67" s="816" t="s">
        <v>10073</v>
      </c>
      <c r="M67" s="810" t="s">
        <v>10092</v>
      </c>
      <c r="N67" s="1138" t="s">
        <v>10093</v>
      </c>
      <c r="O67" s="1139">
        <v>46218</v>
      </c>
      <c r="P67" s="1139">
        <v>46226</v>
      </c>
      <c r="Q67" s="1139">
        <v>46234</v>
      </c>
    </row>
    <row r="68" spans="1:17" ht="15.75" customHeight="1">
      <c r="A68" s="838" t="s">
        <v>10054</v>
      </c>
      <c r="B68" s="810" t="s">
        <v>10090</v>
      </c>
      <c r="C68" s="840"/>
      <c r="D68" s="809" t="s">
        <v>7561</v>
      </c>
      <c r="E68" s="839" t="s">
        <v>10057</v>
      </c>
      <c r="F68" s="845" t="s">
        <v>10057</v>
      </c>
      <c r="G68" s="841">
        <v>1</v>
      </c>
      <c r="H68" s="841" t="s">
        <v>10094</v>
      </c>
      <c r="I68" s="841" t="s">
        <v>9909</v>
      </c>
      <c r="J68" s="841" t="s">
        <v>10095</v>
      </c>
      <c r="K68" s="841" t="s">
        <v>10096</v>
      </c>
      <c r="L68" s="846" t="s">
        <v>10097</v>
      </c>
      <c r="M68" s="856" t="s">
        <v>10097</v>
      </c>
      <c r="N68" s="1138" t="s">
        <v>10098</v>
      </c>
      <c r="O68" s="1139">
        <v>46219</v>
      </c>
      <c r="P68" s="1139"/>
      <c r="Q68" s="1139"/>
    </row>
    <row r="69" spans="1:17" ht="15.75" customHeight="1">
      <c r="A69" s="833" t="s">
        <v>10054</v>
      </c>
      <c r="B69" s="810" t="s">
        <v>10090</v>
      </c>
      <c r="C69" s="840"/>
      <c r="D69" s="809" t="s">
        <v>7569</v>
      </c>
      <c r="E69" s="839" t="s">
        <v>10062</v>
      </c>
      <c r="F69" s="845" t="s">
        <v>10062</v>
      </c>
      <c r="G69" s="841">
        <v>1</v>
      </c>
      <c r="H69" s="841" t="s">
        <v>10094</v>
      </c>
      <c r="I69" s="841" t="s">
        <v>9909</v>
      </c>
      <c r="J69" s="841" t="s">
        <v>10095</v>
      </c>
      <c r="K69" s="841" t="s">
        <v>10096</v>
      </c>
      <c r="L69" s="846" t="s">
        <v>10097</v>
      </c>
      <c r="M69" s="856" t="s">
        <v>10097</v>
      </c>
      <c r="N69" s="1138" t="s">
        <v>10098</v>
      </c>
      <c r="O69" s="1139">
        <v>46219</v>
      </c>
      <c r="P69" s="1139"/>
      <c r="Q69" s="1139"/>
    </row>
    <row r="70" spans="1:17" ht="15.75" customHeight="1">
      <c r="A70" s="809" t="s">
        <v>10054</v>
      </c>
      <c r="B70" s="842" t="s">
        <v>10090</v>
      </c>
      <c r="C70" s="840"/>
      <c r="D70" s="809" t="s">
        <v>7573</v>
      </c>
      <c r="E70" s="839" t="s">
        <v>10064</v>
      </c>
      <c r="F70" s="845" t="s">
        <v>10064</v>
      </c>
      <c r="G70" s="844">
        <v>1</v>
      </c>
      <c r="H70" s="844" t="s">
        <v>10094</v>
      </c>
      <c r="I70" s="844" t="s">
        <v>9909</v>
      </c>
      <c r="J70" s="844" t="s">
        <v>10095</v>
      </c>
      <c r="K70" s="844" t="s">
        <v>10096</v>
      </c>
      <c r="L70" s="847" t="s">
        <v>10097</v>
      </c>
      <c r="M70" s="857" t="s">
        <v>10097</v>
      </c>
      <c r="N70" s="1138" t="s">
        <v>10098</v>
      </c>
      <c r="O70" s="1139">
        <v>46219</v>
      </c>
      <c r="P70" s="1140"/>
      <c r="Q70" s="1140"/>
    </row>
    <row r="71" spans="1:17" ht="15" customHeight="1">
      <c r="A71" s="809" t="s">
        <v>10054</v>
      </c>
      <c r="B71" s="810" t="s">
        <v>8357</v>
      </c>
      <c r="C71" s="809">
        <v>202604</v>
      </c>
      <c r="D71" s="809" t="s">
        <v>10055</v>
      </c>
      <c r="E71" s="811" t="s">
        <v>10056</v>
      </c>
      <c r="F71" s="848" t="s">
        <v>10057</v>
      </c>
      <c r="G71" s="841">
        <v>4</v>
      </c>
      <c r="H71" s="841" t="s">
        <v>10094</v>
      </c>
      <c r="I71" s="841" t="s">
        <v>9909</v>
      </c>
      <c r="J71" s="841" t="s">
        <v>10099</v>
      </c>
      <c r="K71" s="841" t="s">
        <v>7559</v>
      </c>
      <c r="L71" s="846" t="s">
        <v>10100</v>
      </c>
      <c r="M71" s="856" t="s">
        <v>10100</v>
      </c>
      <c r="N71" s="1138"/>
      <c r="O71" s="1139">
        <v>46219</v>
      </c>
      <c r="P71" s="1139"/>
      <c r="Q71" s="1139"/>
    </row>
    <row r="72" spans="1:17" ht="17.25" customHeight="1">
      <c r="A72" s="809" t="s">
        <v>10054</v>
      </c>
      <c r="B72" s="817" t="s">
        <v>8357</v>
      </c>
      <c r="C72" s="816">
        <v>202604</v>
      </c>
      <c r="D72" s="816" t="s">
        <v>10060</v>
      </c>
      <c r="E72" s="849" t="s">
        <v>10061</v>
      </c>
      <c r="F72" s="850" t="s">
        <v>10062</v>
      </c>
      <c r="G72" s="841">
        <v>4</v>
      </c>
      <c r="H72" s="841" t="s">
        <v>10094</v>
      </c>
      <c r="I72" s="841" t="s">
        <v>9909</v>
      </c>
      <c r="J72" s="841" t="s">
        <v>10099</v>
      </c>
      <c r="K72" s="841" t="s">
        <v>7559</v>
      </c>
      <c r="L72" s="846" t="s">
        <v>10100</v>
      </c>
      <c r="M72" s="856" t="s">
        <v>10100</v>
      </c>
      <c r="N72" s="1138"/>
      <c r="O72" s="1139">
        <v>46219</v>
      </c>
      <c r="P72" s="1139"/>
      <c r="Q72" s="1139"/>
    </row>
    <row r="73" spans="1:17" ht="16.5" customHeight="1">
      <c r="A73" s="833" t="s">
        <v>10054</v>
      </c>
      <c r="B73" s="817" t="s">
        <v>8357</v>
      </c>
      <c r="C73" s="816">
        <v>202604</v>
      </c>
      <c r="D73" s="816" t="s">
        <v>10063</v>
      </c>
      <c r="E73" s="966" t="s">
        <v>10061</v>
      </c>
      <c r="F73" s="818" t="s">
        <v>10064</v>
      </c>
      <c r="G73" s="967">
        <v>4</v>
      </c>
      <c r="H73" s="844" t="s">
        <v>10094</v>
      </c>
      <c r="I73" s="844" t="s">
        <v>9909</v>
      </c>
      <c r="J73" s="844" t="s">
        <v>10099</v>
      </c>
      <c r="K73" s="844" t="s">
        <v>7559</v>
      </c>
      <c r="L73" s="847" t="s">
        <v>10100</v>
      </c>
      <c r="M73" s="857" t="s">
        <v>10100</v>
      </c>
      <c r="N73" s="1141"/>
      <c r="O73" s="1140">
        <v>46219</v>
      </c>
      <c r="P73" s="1140"/>
      <c r="Q73" s="1140"/>
    </row>
    <row r="74" spans="1:17" ht="13">
      <c r="A74" s="766" t="s">
        <v>9905</v>
      </c>
      <c r="B74" s="968" t="s">
        <v>10101</v>
      </c>
      <c r="C74" s="969">
        <v>202608</v>
      </c>
      <c r="D74" s="981" t="s">
        <v>10102</v>
      </c>
      <c r="E74" s="979" t="s">
        <v>10103</v>
      </c>
      <c r="F74" s="979" t="s">
        <v>10104</v>
      </c>
      <c r="G74" s="977">
        <v>4</v>
      </c>
      <c r="H74" s="977" t="s">
        <v>66</v>
      </c>
      <c r="I74" s="977" t="s">
        <v>9947</v>
      </c>
      <c r="J74" s="977" t="s">
        <v>10105</v>
      </c>
      <c r="K74" s="1125" t="s">
        <v>10078</v>
      </c>
      <c r="L74" s="983" t="s">
        <v>10106</v>
      </c>
      <c r="M74" s="970" t="s">
        <v>10107</v>
      </c>
      <c r="N74" s="970" t="s">
        <v>10108</v>
      </c>
      <c r="O74" s="1054">
        <v>46251</v>
      </c>
      <c r="P74" s="1054">
        <v>46254</v>
      </c>
      <c r="Q74" s="1054">
        <v>46262</v>
      </c>
    </row>
    <row r="75" spans="1:17" ht="13">
      <c r="A75" s="806" t="s">
        <v>9905</v>
      </c>
      <c r="B75" s="974" t="s">
        <v>10101</v>
      </c>
      <c r="C75" s="975">
        <v>202608</v>
      </c>
      <c r="D75" s="982" t="s">
        <v>10109</v>
      </c>
      <c r="E75" s="980" t="s">
        <v>10103</v>
      </c>
      <c r="F75" s="980" t="s">
        <v>10110</v>
      </c>
      <c r="G75" s="978">
        <v>4</v>
      </c>
      <c r="H75" s="978" t="s">
        <v>66</v>
      </c>
      <c r="I75" s="978" t="s">
        <v>9947</v>
      </c>
      <c r="J75" s="978" t="s">
        <v>10105</v>
      </c>
      <c r="K75" s="1125" t="s">
        <v>10078</v>
      </c>
      <c r="L75" s="984" t="s">
        <v>10106</v>
      </c>
      <c r="M75" s="976" t="s">
        <v>10107</v>
      </c>
      <c r="N75" s="976" t="s">
        <v>10108</v>
      </c>
      <c r="O75" s="1055">
        <v>46251</v>
      </c>
      <c r="P75" s="1054">
        <v>46254</v>
      </c>
      <c r="Q75" s="1054">
        <v>46262</v>
      </c>
    </row>
    <row r="76" spans="1:17" ht="15.75" customHeight="1">
      <c r="A76" s="975" t="s">
        <v>9905</v>
      </c>
      <c r="B76" s="974" t="s">
        <v>10111</v>
      </c>
      <c r="C76" s="975">
        <v>202608</v>
      </c>
      <c r="D76" s="982" t="s">
        <v>10112</v>
      </c>
      <c r="E76" s="1366" t="s">
        <v>10113</v>
      </c>
      <c r="F76" s="1366" t="s">
        <v>10113</v>
      </c>
      <c r="G76" s="978">
        <v>2000</v>
      </c>
      <c r="H76" s="978" t="s">
        <v>9188</v>
      </c>
      <c r="I76" s="978" t="s">
        <v>9947</v>
      </c>
      <c r="J76" s="978" t="s">
        <v>10114</v>
      </c>
      <c r="K76" s="978" t="s">
        <v>10115</v>
      </c>
      <c r="L76" s="975" t="s">
        <v>7814</v>
      </c>
      <c r="M76" s="975" t="s">
        <v>10116</v>
      </c>
      <c r="N76" s="974" t="s">
        <v>10117</v>
      </c>
      <c r="O76" s="1055">
        <v>46260</v>
      </c>
      <c r="P76" s="1055">
        <v>46262</v>
      </c>
      <c r="Q76" s="1055">
        <v>46266</v>
      </c>
    </row>
    <row r="77" spans="1:17" s="1370" customFormat="1" ht="11.5">
      <c r="A77" s="1367" t="s">
        <v>9905</v>
      </c>
      <c r="B77" s="1377" t="s">
        <v>10118</v>
      </c>
      <c r="C77" s="1367">
        <v>202609</v>
      </c>
      <c r="D77" s="1368" t="s">
        <v>10046</v>
      </c>
      <c r="E77" s="1369" t="s">
        <v>10119</v>
      </c>
      <c r="F77" s="1369" t="s">
        <v>10048</v>
      </c>
      <c r="G77" s="1367">
        <v>15</v>
      </c>
      <c r="H77" s="1367" t="s">
        <v>9188</v>
      </c>
      <c r="I77" s="1367" t="s">
        <v>9947</v>
      </c>
      <c r="J77" s="1367" t="s">
        <v>289</v>
      </c>
      <c r="K77" s="1367" t="s">
        <v>10120</v>
      </c>
      <c r="L77" s="1367"/>
      <c r="M77" s="1367"/>
      <c r="N77" s="1367"/>
      <c r="O77" s="1367"/>
      <c r="P77" s="1367"/>
      <c r="Q77" s="1367"/>
    </row>
    <row r="80" spans="1:17">
      <c r="P80" s="105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9368</v>
      </c>
    </row>
    <row r="3" spans="1:4">
      <c r="A3" s="171" t="s">
        <v>24</v>
      </c>
      <c r="B3" t="s">
        <v>9368</v>
      </c>
    </row>
    <row r="5" spans="1:4">
      <c r="A5" s="171" t="s">
        <v>15</v>
      </c>
      <c r="B5" s="171" t="s">
        <v>33</v>
      </c>
      <c r="C5" s="171" t="s">
        <v>9</v>
      </c>
      <c r="D5" t="s">
        <v>9372</v>
      </c>
    </row>
    <row r="6" spans="1:4">
      <c r="A6" t="s">
        <v>71</v>
      </c>
      <c r="B6" t="s">
        <v>78</v>
      </c>
      <c r="C6" t="s">
        <v>96</v>
      </c>
      <c r="D6" s="1441">
        <v>6048</v>
      </c>
    </row>
    <row r="7" spans="1:4">
      <c r="B7" t="s">
        <v>105</v>
      </c>
      <c r="C7" t="s">
        <v>96</v>
      </c>
      <c r="D7" s="1441">
        <v>8640</v>
      </c>
    </row>
    <row r="8" spans="1:4">
      <c r="A8" t="s">
        <v>1151</v>
      </c>
      <c r="B8" t="s">
        <v>78</v>
      </c>
      <c r="C8" t="s">
        <v>96</v>
      </c>
      <c r="D8" s="1441">
        <v>6048</v>
      </c>
    </row>
    <row r="9" spans="1:4">
      <c r="B9" t="s">
        <v>105</v>
      </c>
      <c r="C9" t="s">
        <v>96</v>
      </c>
      <c r="D9" s="1441">
        <v>16416</v>
      </c>
    </row>
    <row r="10" spans="1:4">
      <c r="A10" t="s">
        <v>965</v>
      </c>
      <c r="B10" t="s">
        <v>105</v>
      </c>
      <c r="C10" t="s">
        <v>96</v>
      </c>
      <c r="D10" s="1441">
        <v>1872</v>
      </c>
    </row>
    <row r="11" spans="1:4">
      <c r="A11" t="s">
        <v>195</v>
      </c>
      <c r="B11" t="s">
        <v>456</v>
      </c>
      <c r="C11" t="s">
        <v>96</v>
      </c>
      <c r="D11" s="1441">
        <v>1872</v>
      </c>
    </row>
    <row r="12" spans="1:4">
      <c r="B12" t="s">
        <v>105</v>
      </c>
      <c r="C12" t="s">
        <v>96</v>
      </c>
      <c r="D12" s="1441">
        <v>18720</v>
      </c>
    </row>
    <row r="13" spans="1:4">
      <c r="A13" t="s">
        <v>91</v>
      </c>
      <c r="B13" t="s">
        <v>78</v>
      </c>
      <c r="C13" t="s">
        <v>96</v>
      </c>
      <c r="D13" s="1441">
        <v>2808</v>
      </c>
    </row>
    <row r="14" spans="1:4">
      <c r="B14" t="s">
        <v>356</v>
      </c>
      <c r="C14" t="s">
        <v>96</v>
      </c>
      <c r="D14" s="1441">
        <v>20592</v>
      </c>
    </row>
    <row r="15" spans="1:4">
      <c r="A15" t="s">
        <v>1977</v>
      </c>
      <c r="B15" t="s">
        <v>78</v>
      </c>
      <c r="C15" t="s">
        <v>96</v>
      </c>
      <c r="D15" s="1441">
        <v>1320</v>
      </c>
    </row>
    <row r="16" spans="1:4">
      <c r="B16" t="s">
        <v>314</v>
      </c>
      <c r="C16" t="s">
        <v>96</v>
      </c>
      <c r="D16" s="1441">
        <v>18480</v>
      </c>
    </row>
    <row r="17" spans="1:4">
      <c r="B17" t="s">
        <v>1561</v>
      </c>
      <c r="C17" t="s">
        <v>96</v>
      </c>
      <c r="D17" s="1441">
        <v>5940</v>
      </c>
    </row>
    <row r="18" spans="1:4">
      <c r="B18" t="s">
        <v>105</v>
      </c>
      <c r="C18" t="s">
        <v>96</v>
      </c>
      <c r="D18" s="1441">
        <v>5280</v>
      </c>
    </row>
    <row r="19" spans="1:4">
      <c r="B19" t="s">
        <v>124</v>
      </c>
      <c r="C19" t="s">
        <v>96</v>
      </c>
      <c r="D19" s="1441">
        <v>5280</v>
      </c>
    </row>
    <row r="20" spans="1:4">
      <c r="A20" t="s">
        <v>171</v>
      </c>
      <c r="B20" t="s">
        <v>314</v>
      </c>
      <c r="C20" t="s">
        <v>96</v>
      </c>
      <c r="D20" s="1441">
        <v>15840</v>
      </c>
    </row>
    <row r="21" spans="1:4">
      <c r="B21" t="s">
        <v>1561</v>
      </c>
      <c r="C21" t="s">
        <v>96</v>
      </c>
      <c r="D21" s="1441">
        <v>5280</v>
      </c>
    </row>
    <row r="22" spans="1:4">
      <c r="B22" t="s">
        <v>105</v>
      </c>
      <c r="C22" t="s">
        <v>96</v>
      </c>
      <c r="D22" s="1441">
        <v>3960</v>
      </c>
    </row>
    <row r="23" spans="1:4">
      <c r="A23" t="s">
        <v>551</v>
      </c>
      <c r="B23" t="s">
        <v>78</v>
      </c>
      <c r="C23" t="s">
        <v>96</v>
      </c>
      <c r="D23" s="1441">
        <v>6336</v>
      </c>
    </row>
    <row r="24" spans="1:4">
      <c r="B24" t="s">
        <v>314</v>
      </c>
      <c r="C24" t="s">
        <v>96</v>
      </c>
      <c r="D24" s="1441">
        <v>3168</v>
      </c>
    </row>
    <row r="25" spans="1:4">
      <c r="B25" t="s">
        <v>356</v>
      </c>
      <c r="C25" t="s">
        <v>96</v>
      </c>
      <c r="D25" s="1441">
        <v>7128</v>
      </c>
    </row>
    <row r="26" spans="1:4">
      <c r="B26" t="s">
        <v>1561</v>
      </c>
      <c r="C26" t="s">
        <v>96</v>
      </c>
      <c r="D26" s="1441">
        <v>1584</v>
      </c>
    </row>
    <row r="27" spans="1:4">
      <c r="B27" t="s">
        <v>105</v>
      </c>
      <c r="C27" t="s">
        <v>96</v>
      </c>
      <c r="D27" s="1441">
        <v>1584</v>
      </c>
    </row>
    <row r="28" spans="1:4">
      <c r="B28" t="s">
        <v>124</v>
      </c>
      <c r="C28" t="s">
        <v>96</v>
      </c>
      <c r="D28" s="1441">
        <v>1584</v>
      </c>
    </row>
    <row r="29" spans="1:4">
      <c r="A29" t="s">
        <v>474</v>
      </c>
      <c r="B29" t="s">
        <v>456</v>
      </c>
      <c r="C29" t="s">
        <v>96</v>
      </c>
      <c r="D29" s="1441">
        <v>1728</v>
      </c>
    </row>
    <row r="30" spans="1:4">
      <c r="B30" t="s">
        <v>105</v>
      </c>
      <c r="C30" t="s">
        <v>96</v>
      </c>
      <c r="D30" s="1441">
        <v>12960</v>
      </c>
    </row>
    <row r="31" spans="1:4">
      <c r="B31" t="s">
        <v>124</v>
      </c>
      <c r="C31" t="s">
        <v>96</v>
      </c>
      <c r="D31" s="1441">
        <v>1728</v>
      </c>
    </row>
    <row r="32" spans="1:4">
      <c r="A32" t="s">
        <v>529</v>
      </c>
      <c r="B32" t="s">
        <v>314</v>
      </c>
      <c r="C32" t="s">
        <v>96</v>
      </c>
      <c r="D32" s="1441">
        <v>6048</v>
      </c>
    </row>
    <row r="33" spans="1:4">
      <c r="A33" t="s">
        <v>706</v>
      </c>
      <c r="B33" t="s">
        <v>78</v>
      </c>
      <c r="C33" t="s">
        <v>96</v>
      </c>
      <c r="D33" s="1441">
        <v>3456</v>
      </c>
    </row>
    <row r="34" spans="1:4">
      <c r="B34" t="s">
        <v>356</v>
      </c>
      <c r="C34" t="s">
        <v>96</v>
      </c>
      <c r="D34" s="1441">
        <v>1728</v>
      </c>
    </row>
    <row r="35" spans="1:4">
      <c r="A35" t="s">
        <v>691</v>
      </c>
      <c r="B35" t="s">
        <v>78</v>
      </c>
      <c r="C35" t="s">
        <v>96</v>
      </c>
      <c r="D35" s="1441">
        <v>5184</v>
      </c>
    </row>
    <row r="36" spans="1:4">
      <c r="A36" t="s">
        <v>189</v>
      </c>
      <c r="B36" t="s">
        <v>78</v>
      </c>
      <c r="C36" t="s">
        <v>96</v>
      </c>
      <c r="D36" s="1441">
        <v>5184</v>
      </c>
    </row>
    <row r="37" spans="1:4">
      <c r="A37" t="s">
        <v>1062</v>
      </c>
      <c r="B37" t="s">
        <v>456</v>
      </c>
      <c r="C37" t="s">
        <v>96</v>
      </c>
      <c r="D37" s="1441">
        <v>4320</v>
      </c>
    </row>
    <row r="38" spans="1:4">
      <c r="B38" t="s">
        <v>78</v>
      </c>
      <c r="C38" t="s">
        <v>96</v>
      </c>
      <c r="D38" s="1441">
        <v>14688</v>
      </c>
    </row>
    <row r="39" spans="1:4">
      <c r="B39" t="s">
        <v>105</v>
      </c>
      <c r="C39" t="s">
        <v>96</v>
      </c>
      <c r="D39" s="1441">
        <v>21600</v>
      </c>
    </row>
    <row r="40" spans="1:4">
      <c r="B40" t="s">
        <v>124</v>
      </c>
      <c r="C40" t="s">
        <v>96</v>
      </c>
      <c r="D40" s="1441">
        <v>1728</v>
      </c>
    </row>
    <row r="41" spans="1:4">
      <c r="A41" t="s">
        <v>204</v>
      </c>
      <c r="B41" t="s">
        <v>78</v>
      </c>
      <c r="C41" t="s">
        <v>96</v>
      </c>
      <c r="D41" s="1441">
        <v>4680</v>
      </c>
    </row>
    <row r="42" spans="1:4">
      <c r="B42" t="s">
        <v>356</v>
      </c>
      <c r="C42" t="s">
        <v>96</v>
      </c>
      <c r="D42" s="1441">
        <v>9360</v>
      </c>
    </row>
    <row r="43" spans="1:4">
      <c r="A43" t="s">
        <v>4482</v>
      </c>
      <c r="B43" t="s">
        <v>105</v>
      </c>
      <c r="C43" t="s">
        <v>96</v>
      </c>
      <c r="D43" s="1441">
        <v>3600</v>
      </c>
    </row>
    <row r="44" spans="1:4">
      <c r="B44" t="s">
        <v>124</v>
      </c>
      <c r="C44" t="s">
        <v>96</v>
      </c>
      <c r="D44" s="1441">
        <v>2880</v>
      </c>
    </row>
    <row r="45" spans="1:4">
      <c r="A45" t="s">
        <v>4515</v>
      </c>
      <c r="B45" t="s">
        <v>105</v>
      </c>
      <c r="C45" t="s">
        <v>96</v>
      </c>
      <c r="D45" s="1441">
        <v>4320</v>
      </c>
    </row>
    <row r="46" spans="1:4">
      <c r="A46" t="s">
        <v>2134</v>
      </c>
      <c r="B46" t="s">
        <v>456</v>
      </c>
      <c r="C46" t="s">
        <v>96</v>
      </c>
      <c r="D46" s="1441">
        <v>5544</v>
      </c>
    </row>
    <row r="47" spans="1:4">
      <c r="B47" t="s">
        <v>78</v>
      </c>
      <c r="C47" t="s">
        <v>96</v>
      </c>
      <c r="D47" s="1441">
        <v>3960</v>
      </c>
    </row>
    <row r="48" spans="1:4">
      <c r="B48" t="s">
        <v>314</v>
      </c>
      <c r="C48" t="s">
        <v>96</v>
      </c>
      <c r="D48" s="1441">
        <v>10296</v>
      </c>
    </row>
    <row r="49" spans="1:4">
      <c r="B49" t="s">
        <v>1561</v>
      </c>
      <c r="C49" t="s">
        <v>96</v>
      </c>
      <c r="D49" s="1441">
        <v>2376</v>
      </c>
    </row>
    <row r="50" spans="1:4">
      <c r="B50" t="s">
        <v>105</v>
      </c>
      <c r="C50" t="s">
        <v>96</v>
      </c>
      <c r="D50" s="1441">
        <v>5544</v>
      </c>
    </row>
    <row r="51" spans="1:4">
      <c r="B51" t="s">
        <v>124</v>
      </c>
      <c r="C51" t="s">
        <v>96</v>
      </c>
      <c r="D51" s="1441">
        <v>1584</v>
      </c>
    </row>
    <row r="52" spans="1:4">
      <c r="A52" t="s">
        <v>6207</v>
      </c>
      <c r="B52" t="s">
        <v>68</v>
      </c>
      <c r="C52" t="s">
        <v>96</v>
      </c>
      <c r="D52" s="1441">
        <v>2880</v>
      </c>
    </row>
    <row r="53" spans="1:4">
      <c r="A53" t="s">
        <v>9366</v>
      </c>
      <c r="D53" s="1441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10121</v>
      </c>
      <c r="B1" s="227" t="s">
        <v>9894</v>
      </c>
      <c r="C1" s="227" t="s">
        <v>10122</v>
      </c>
      <c r="D1" s="1085" t="s">
        <v>10123</v>
      </c>
      <c r="E1" s="1085" t="s">
        <v>10124</v>
      </c>
      <c r="F1" s="1085" t="s">
        <v>10125</v>
      </c>
      <c r="G1" s="1085" t="s">
        <v>10126</v>
      </c>
      <c r="H1" s="1085" t="s">
        <v>10127</v>
      </c>
    </row>
    <row r="2" spans="1:8" s="226" customFormat="1" ht="14">
      <c r="A2" s="1086">
        <v>0</v>
      </c>
      <c r="B2" s="1087" t="s">
        <v>10128</v>
      </c>
      <c r="C2" s="1088" t="s">
        <v>10129</v>
      </c>
      <c r="D2" s="1089" t="s">
        <v>5943</v>
      </c>
      <c r="E2" s="1089" t="s">
        <v>5943</v>
      </c>
      <c r="F2" s="1086" t="s">
        <v>5943</v>
      </c>
      <c r="G2" s="1086" t="s">
        <v>840</v>
      </c>
      <c r="H2" s="1089" t="s">
        <v>5943</v>
      </c>
    </row>
    <row r="3" spans="1:8" s="226" customFormat="1" ht="14">
      <c r="A3" s="1086">
        <v>1</v>
      </c>
      <c r="B3" s="1087" t="s">
        <v>10130</v>
      </c>
      <c r="C3" s="1088" t="s">
        <v>10131</v>
      </c>
      <c r="D3" s="1086" t="s">
        <v>840</v>
      </c>
      <c r="E3" s="1089" t="s">
        <v>5943</v>
      </c>
      <c r="F3" s="1086" t="s">
        <v>5943</v>
      </c>
      <c r="G3" s="1086" t="s">
        <v>840</v>
      </c>
      <c r="H3" s="1089" t="s">
        <v>5943</v>
      </c>
    </row>
    <row r="4" spans="1:8" s="226" customFormat="1" ht="26">
      <c r="A4" s="1086">
        <v>2</v>
      </c>
      <c r="B4" s="1087" t="s">
        <v>10132</v>
      </c>
      <c r="C4" s="1088" t="s">
        <v>10133</v>
      </c>
      <c r="D4" s="1086" t="s">
        <v>840</v>
      </c>
      <c r="E4" s="1089" t="s">
        <v>5943</v>
      </c>
      <c r="F4" s="1089" t="s">
        <v>840</v>
      </c>
      <c r="G4" s="1086" t="s">
        <v>840</v>
      </c>
      <c r="H4" s="1086" t="s">
        <v>840</v>
      </c>
    </row>
    <row r="5" spans="1:8" s="226" customFormat="1" ht="39">
      <c r="A5" s="1086">
        <v>3</v>
      </c>
      <c r="B5" s="1087" t="s">
        <v>10134</v>
      </c>
      <c r="C5" s="1088" t="s">
        <v>10135</v>
      </c>
      <c r="D5" s="1086" t="s">
        <v>840</v>
      </c>
      <c r="E5" s="1089" t="s">
        <v>5943</v>
      </c>
      <c r="F5" s="1089" t="s">
        <v>840</v>
      </c>
      <c r="G5" s="1089" t="s">
        <v>5943</v>
      </c>
      <c r="H5" s="1089" t="s">
        <v>5943</v>
      </c>
    </row>
    <row r="6" spans="1:8" s="226" customFormat="1" ht="52">
      <c r="A6" s="1086">
        <v>4</v>
      </c>
      <c r="B6" s="1087" t="s">
        <v>10136</v>
      </c>
      <c r="C6" s="1088" t="s">
        <v>10137</v>
      </c>
      <c r="D6" s="1086" t="s">
        <v>840</v>
      </c>
      <c r="E6" s="1086" t="s">
        <v>840</v>
      </c>
      <c r="F6" s="1086" t="s">
        <v>5943</v>
      </c>
      <c r="G6" s="1086" t="s">
        <v>840</v>
      </c>
      <c r="H6" s="1086" t="s">
        <v>840</v>
      </c>
    </row>
    <row r="7" spans="1:8" s="226" customFormat="1" ht="36" customHeight="1">
      <c r="A7" s="1086">
        <v>5</v>
      </c>
      <c r="B7" s="1087" t="s">
        <v>10138</v>
      </c>
      <c r="C7" s="1088" t="s">
        <v>10139</v>
      </c>
      <c r="D7" s="1086" t="s">
        <v>840</v>
      </c>
      <c r="E7" s="1086" t="s">
        <v>840</v>
      </c>
      <c r="F7" s="1089" t="s">
        <v>840</v>
      </c>
      <c r="G7" s="1089" t="s">
        <v>5943</v>
      </c>
      <c r="H7" s="1089" t="s">
        <v>5943</v>
      </c>
    </row>
    <row r="8" spans="1:8" s="226" customFormat="1" ht="33.75" customHeight="1">
      <c r="A8" s="1086">
        <v>6</v>
      </c>
      <c r="B8" s="1087" t="s">
        <v>10140</v>
      </c>
      <c r="C8" s="1088" t="s">
        <v>10141</v>
      </c>
      <c r="D8" s="1086" t="s">
        <v>840</v>
      </c>
      <c r="E8" s="1086" t="s">
        <v>840</v>
      </c>
      <c r="F8" s="1089" t="s">
        <v>840</v>
      </c>
      <c r="G8" s="1089" t="s">
        <v>5943</v>
      </c>
      <c r="H8" s="1086" t="s">
        <v>840</v>
      </c>
    </row>
    <row r="9" spans="1:8" ht="27.75" customHeight="1"/>
    <row r="10" spans="1:8">
      <c r="A10" s="303" t="s">
        <v>10142</v>
      </c>
      <c r="B10" s="303"/>
      <c r="C10" s="303"/>
    </row>
    <row r="11" spans="1:8">
      <c r="A11" s="304" t="s">
        <v>10143</v>
      </c>
      <c r="B11" s="304"/>
      <c r="C11" s="304"/>
    </row>
    <row r="12" spans="1:8">
      <c r="A12" s="305" t="s">
        <v>10144</v>
      </c>
      <c r="B12" s="305"/>
      <c r="C12" s="305"/>
    </row>
    <row r="13" spans="1:8">
      <c r="A13" s="306" t="s">
        <v>10145</v>
      </c>
      <c r="B13" s="306"/>
      <c r="C13" s="306"/>
    </row>
    <row r="14" spans="1:8">
      <c r="A14" s="307" t="s">
        <v>10146</v>
      </c>
      <c r="B14" s="307"/>
      <c r="C14" s="307"/>
    </row>
    <row r="15" spans="1:8">
      <c r="A15" s="308" t="s">
        <v>10147</v>
      </c>
      <c r="B15" s="308"/>
      <c r="C15" s="308"/>
    </row>
    <row r="18" spans="2:2">
      <c r="B18" s="1087"/>
    </row>
    <row r="19" spans="2:2">
      <c r="B19" s="108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7" customFormat="1" ht="28">
      <c r="A1" s="916" t="s">
        <v>15</v>
      </c>
      <c r="B1" s="916" t="s">
        <v>10148</v>
      </c>
      <c r="C1" s="916" t="s">
        <v>10149</v>
      </c>
      <c r="D1" s="916" t="s">
        <v>17</v>
      </c>
      <c r="E1" s="916" t="s">
        <v>58</v>
      </c>
      <c r="F1" s="916" t="s">
        <v>10150</v>
      </c>
      <c r="G1" s="916" t="s">
        <v>10151</v>
      </c>
      <c r="H1" s="916" t="s">
        <v>10152</v>
      </c>
      <c r="I1" s="916" t="s">
        <v>10153</v>
      </c>
    </row>
    <row r="2" spans="1:9" ht="14" hidden="1">
      <c r="A2" s="918" t="s">
        <v>943</v>
      </c>
      <c r="B2" s="918" t="s">
        <v>886</v>
      </c>
      <c r="C2" s="918" t="s">
        <v>967</v>
      </c>
      <c r="D2" t="s">
        <v>73</v>
      </c>
      <c r="E2" s="920" t="s">
        <v>108</v>
      </c>
      <c r="F2" s="920" t="s">
        <v>10154</v>
      </c>
      <c r="G2">
        <v>36</v>
      </c>
      <c r="H2">
        <v>720</v>
      </c>
      <c r="I2" t="s">
        <v>10155</v>
      </c>
    </row>
    <row r="3" spans="1:9" ht="14" hidden="1">
      <c r="A3" s="918" t="s">
        <v>102</v>
      </c>
      <c r="B3" s="918" t="s">
        <v>103</v>
      </c>
      <c r="C3" s="918" t="s">
        <v>967</v>
      </c>
      <c r="D3" t="s">
        <v>73</v>
      </c>
      <c r="E3" s="920" t="s">
        <v>108</v>
      </c>
      <c r="F3" s="920" t="s">
        <v>10154</v>
      </c>
      <c r="G3">
        <v>36</v>
      </c>
      <c r="H3">
        <v>720</v>
      </c>
      <c r="I3" t="s">
        <v>10155</v>
      </c>
    </row>
    <row r="4" spans="1:9" ht="14" hidden="1">
      <c r="A4" s="918" t="s">
        <v>1002</v>
      </c>
      <c r="B4" s="918" t="s">
        <v>330</v>
      </c>
      <c r="C4" s="918" t="s">
        <v>992</v>
      </c>
      <c r="D4" t="s">
        <v>73</v>
      </c>
      <c r="E4" s="920" t="s">
        <v>128</v>
      </c>
      <c r="F4" s="920" t="s">
        <v>10156</v>
      </c>
      <c r="G4">
        <v>36</v>
      </c>
      <c r="H4">
        <v>720</v>
      </c>
      <c r="I4" t="s">
        <v>10157</v>
      </c>
    </row>
    <row r="5" spans="1:9" ht="14" hidden="1">
      <c r="A5" s="918" t="s">
        <v>2761</v>
      </c>
      <c r="B5" s="918" t="s">
        <v>2762</v>
      </c>
      <c r="C5" s="918" t="s">
        <v>992</v>
      </c>
      <c r="D5" t="s">
        <v>73</v>
      </c>
      <c r="E5" s="920" t="s">
        <v>108</v>
      </c>
      <c r="F5" s="920" t="s">
        <v>10156</v>
      </c>
      <c r="G5">
        <v>36</v>
      </c>
      <c r="H5">
        <v>936</v>
      </c>
      <c r="I5" t="s">
        <v>10158</v>
      </c>
    </row>
    <row r="6" spans="1:9" ht="14" hidden="1">
      <c r="A6" s="918" t="s">
        <v>1355</v>
      </c>
      <c r="B6" s="918" t="s">
        <v>1348</v>
      </c>
      <c r="C6" s="918" t="s">
        <v>992</v>
      </c>
      <c r="D6" t="s">
        <v>73</v>
      </c>
      <c r="E6" s="920" t="s">
        <v>128</v>
      </c>
      <c r="F6" s="920" t="s">
        <v>10156</v>
      </c>
      <c r="G6">
        <v>33</v>
      </c>
      <c r="H6">
        <v>594</v>
      </c>
    </row>
    <row r="7" spans="1:9" ht="14" hidden="1">
      <c r="A7" s="918" t="s">
        <v>2652</v>
      </c>
      <c r="B7" s="918" t="s">
        <v>10159</v>
      </c>
      <c r="C7" s="918" t="s">
        <v>992</v>
      </c>
      <c r="D7" t="s">
        <v>73</v>
      </c>
      <c r="E7" s="920" t="s">
        <v>108</v>
      </c>
      <c r="F7" s="920" t="s">
        <v>10156</v>
      </c>
      <c r="G7">
        <v>33</v>
      </c>
      <c r="H7">
        <v>660</v>
      </c>
      <c r="I7" t="s">
        <v>10160</v>
      </c>
    </row>
    <row r="8" spans="1:9" ht="14" hidden="1">
      <c r="A8" s="918" t="s">
        <v>2659</v>
      </c>
      <c r="B8" s="918" t="s">
        <v>10161</v>
      </c>
      <c r="C8" s="918" t="s">
        <v>992</v>
      </c>
      <c r="D8" t="s">
        <v>73</v>
      </c>
      <c r="E8" s="920" t="s">
        <v>108</v>
      </c>
      <c r="F8" s="920" t="s">
        <v>10156</v>
      </c>
      <c r="G8">
        <v>33</v>
      </c>
      <c r="H8">
        <v>660</v>
      </c>
      <c r="I8" t="s">
        <v>10160</v>
      </c>
    </row>
    <row r="9" spans="1:9" ht="14" hidden="1">
      <c r="A9" s="918" t="s">
        <v>1347</v>
      </c>
      <c r="B9" s="918" t="s">
        <v>1348</v>
      </c>
      <c r="C9" s="918" t="s">
        <v>992</v>
      </c>
      <c r="D9" t="s">
        <v>73</v>
      </c>
      <c r="E9" s="920" t="s">
        <v>128</v>
      </c>
      <c r="F9" s="920" t="s">
        <v>10156</v>
      </c>
      <c r="G9">
        <v>33</v>
      </c>
      <c r="H9">
        <v>594</v>
      </c>
      <c r="I9" t="s">
        <v>10157</v>
      </c>
    </row>
    <row r="10" spans="1:9" ht="14" hidden="1">
      <c r="A10" s="918" t="s">
        <v>2698</v>
      </c>
      <c r="B10" s="918" t="s">
        <v>571</v>
      </c>
      <c r="C10" s="918" t="s">
        <v>967</v>
      </c>
      <c r="D10" t="s">
        <v>73</v>
      </c>
      <c r="E10" s="920" t="s">
        <v>85</v>
      </c>
      <c r="F10" s="920" t="s">
        <v>10154</v>
      </c>
      <c r="G10">
        <v>36</v>
      </c>
      <c r="H10">
        <v>936</v>
      </c>
    </row>
    <row r="11" spans="1:9" ht="14" hidden="1">
      <c r="A11" s="918" t="s">
        <v>3121</v>
      </c>
      <c r="B11" s="918" t="s">
        <v>1235</v>
      </c>
      <c r="C11" s="918" t="s">
        <v>967</v>
      </c>
      <c r="D11" t="s">
        <v>73</v>
      </c>
      <c r="E11" s="920" t="s">
        <v>85</v>
      </c>
      <c r="F11" s="920" t="s">
        <v>10154</v>
      </c>
      <c r="G11">
        <v>36</v>
      </c>
      <c r="H11">
        <v>936</v>
      </c>
      <c r="I11" t="s">
        <v>10162</v>
      </c>
    </row>
    <row r="12" spans="1:9" ht="14" hidden="1">
      <c r="A12" s="918" t="s">
        <v>1905</v>
      </c>
      <c r="B12" s="918" t="s">
        <v>1906</v>
      </c>
      <c r="C12" s="918" t="s">
        <v>992</v>
      </c>
      <c r="D12" t="s">
        <v>73</v>
      </c>
      <c r="E12" s="920" t="s">
        <v>108</v>
      </c>
      <c r="F12" s="920" t="s">
        <v>10156</v>
      </c>
      <c r="G12">
        <v>33</v>
      </c>
      <c r="H12">
        <v>660</v>
      </c>
      <c r="I12" t="s">
        <v>10160</v>
      </c>
    </row>
    <row r="13" spans="1:9" ht="14" hidden="1">
      <c r="A13" s="918" t="s">
        <v>841</v>
      </c>
      <c r="B13" s="918" t="s">
        <v>842</v>
      </c>
      <c r="C13" s="918" t="s">
        <v>992</v>
      </c>
      <c r="D13" t="s">
        <v>73</v>
      </c>
      <c r="E13" s="920" t="s">
        <v>108</v>
      </c>
      <c r="F13" s="920" t="s">
        <v>10154</v>
      </c>
      <c r="G13">
        <v>36</v>
      </c>
      <c r="H13">
        <v>792</v>
      </c>
      <c r="I13" t="s">
        <v>10163</v>
      </c>
    </row>
    <row r="14" spans="1:9" ht="14" hidden="1">
      <c r="A14" s="918" t="s">
        <v>405</v>
      </c>
      <c r="B14" s="918" t="s">
        <v>406</v>
      </c>
      <c r="C14" s="918" t="s">
        <v>992</v>
      </c>
      <c r="D14" t="s">
        <v>73</v>
      </c>
      <c r="E14" s="920" t="s">
        <v>108</v>
      </c>
      <c r="F14" s="920" t="s">
        <v>10154</v>
      </c>
      <c r="G14">
        <v>36</v>
      </c>
      <c r="H14">
        <v>792</v>
      </c>
    </row>
    <row r="15" spans="1:9" ht="14" hidden="1">
      <c r="A15" s="918" t="s">
        <v>453</v>
      </c>
      <c r="B15" s="918" t="s">
        <v>454</v>
      </c>
      <c r="C15" s="918" t="s">
        <v>967</v>
      </c>
      <c r="D15" t="s">
        <v>73</v>
      </c>
      <c r="E15" s="920" t="s">
        <v>108</v>
      </c>
      <c r="F15" s="920" t="s">
        <v>10154</v>
      </c>
      <c r="G15">
        <v>36</v>
      </c>
      <c r="H15">
        <v>864</v>
      </c>
      <c r="I15" t="s">
        <v>10164</v>
      </c>
    </row>
    <row r="16" spans="1:9" ht="14" hidden="1">
      <c r="A16" s="918" t="s">
        <v>3993</v>
      </c>
      <c r="B16" s="918" t="s">
        <v>1105</v>
      </c>
      <c r="C16" s="918" t="s">
        <v>967</v>
      </c>
      <c r="D16" t="s">
        <v>73</v>
      </c>
      <c r="E16" s="920" t="s">
        <v>108</v>
      </c>
      <c r="F16" s="920" t="s">
        <v>10154</v>
      </c>
      <c r="G16">
        <v>36</v>
      </c>
      <c r="H16">
        <v>864</v>
      </c>
      <c r="I16" t="s">
        <v>10164</v>
      </c>
    </row>
    <row r="17" spans="1:9" ht="14" hidden="1">
      <c r="A17" s="918" t="s">
        <v>71</v>
      </c>
      <c r="B17" s="918" t="s">
        <v>72</v>
      </c>
      <c r="C17" s="918" t="s">
        <v>967</v>
      </c>
      <c r="D17" t="s">
        <v>73</v>
      </c>
      <c r="E17" s="920" t="s">
        <v>85</v>
      </c>
      <c r="F17" s="920" t="s">
        <v>10154</v>
      </c>
      <c r="G17">
        <v>36</v>
      </c>
      <c r="H17">
        <v>864</v>
      </c>
      <c r="I17" t="s">
        <v>10162</v>
      </c>
    </row>
    <row r="18" spans="1:9" ht="14" hidden="1">
      <c r="A18" s="918" t="s">
        <v>285</v>
      </c>
      <c r="B18" s="918" t="s">
        <v>286</v>
      </c>
      <c r="C18" s="918" t="s">
        <v>992</v>
      </c>
      <c r="D18" t="s">
        <v>73</v>
      </c>
      <c r="E18" s="920" t="s">
        <v>85</v>
      </c>
      <c r="F18" s="920" t="s">
        <v>10154</v>
      </c>
      <c r="G18">
        <v>37</v>
      </c>
      <c r="H18">
        <v>962</v>
      </c>
      <c r="I18" t="s">
        <v>10165</v>
      </c>
    </row>
    <row r="19" spans="1:9" ht="14" hidden="1">
      <c r="A19" s="918" t="s">
        <v>1151</v>
      </c>
      <c r="B19" s="918" t="s">
        <v>421</v>
      </c>
      <c r="C19" s="918" t="s">
        <v>967</v>
      </c>
      <c r="D19" t="s">
        <v>73</v>
      </c>
      <c r="E19" s="920" t="s">
        <v>85</v>
      </c>
      <c r="F19" s="920" t="s">
        <v>10154</v>
      </c>
      <c r="G19">
        <v>36</v>
      </c>
      <c r="H19">
        <v>864</v>
      </c>
      <c r="I19" t="s">
        <v>10162</v>
      </c>
    </row>
    <row r="20" spans="1:9" ht="14" hidden="1">
      <c r="A20" s="918" t="s">
        <v>965</v>
      </c>
      <c r="B20" s="918" t="s">
        <v>966</v>
      </c>
      <c r="C20" s="918" t="s">
        <v>967</v>
      </c>
      <c r="D20" t="s">
        <v>73</v>
      </c>
      <c r="E20" s="920" t="s">
        <v>85</v>
      </c>
      <c r="F20" s="920" t="s">
        <v>10154</v>
      </c>
      <c r="G20">
        <v>36</v>
      </c>
      <c r="H20">
        <v>936</v>
      </c>
      <c r="I20" t="s">
        <v>10162</v>
      </c>
    </row>
    <row r="21" spans="1:9" ht="14" hidden="1">
      <c r="A21" s="918" t="s">
        <v>195</v>
      </c>
      <c r="B21" s="918" t="s">
        <v>196</v>
      </c>
      <c r="C21" s="918" t="s">
        <v>967</v>
      </c>
      <c r="D21" t="s">
        <v>73</v>
      </c>
      <c r="E21" s="920" t="s">
        <v>85</v>
      </c>
      <c r="F21" s="920" t="s">
        <v>10154</v>
      </c>
      <c r="G21">
        <v>36</v>
      </c>
      <c r="H21">
        <v>936</v>
      </c>
      <c r="I21" t="s">
        <v>10162</v>
      </c>
    </row>
    <row r="22" spans="1:9" ht="14" hidden="1">
      <c r="A22" s="918" t="s">
        <v>91</v>
      </c>
      <c r="B22" s="918" t="s">
        <v>10166</v>
      </c>
      <c r="C22" s="918" t="s">
        <v>967</v>
      </c>
      <c r="D22" t="s">
        <v>73</v>
      </c>
      <c r="E22" s="920" t="s">
        <v>94</v>
      </c>
      <c r="F22" s="920" t="s">
        <v>10154</v>
      </c>
      <c r="G22">
        <v>36</v>
      </c>
      <c r="H22">
        <v>936</v>
      </c>
      <c r="I22" t="s">
        <v>10167</v>
      </c>
    </row>
    <row r="23" spans="1:9" ht="14" hidden="1">
      <c r="A23" s="918" t="s">
        <v>860</v>
      </c>
      <c r="B23" s="918" t="s">
        <v>10168</v>
      </c>
      <c r="C23" s="918" t="s">
        <v>967</v>
      </c>
      <c r="D23" t="s">
        <v>73</v>
      </c>
      <c r="E23" s="920" t="s">
        <v>94</v>
      </c>
      <c r="F23" s="920" t="s">
        <v>10154</v>
      </c>
      <c r="G23">
        <v>36</v>
      </c>
      <c r="H23">
        <v>936</v>
      </c>
      <c r="I23" t="s">
        <v>10167</v>
      </c>
    </row>
    <row r="24" spans="1:9" ht="14" hidden="1">
      <c r="A24" s="918" t="s">
        <v>3589</v>
      </c>
      <c r="B24" s="918" t="s">
        <v>3590</v>
      </c>
      <c r="C24" s="918" t="s">
        <v>992</v>
      </c>
      <c r="D24" t="s">
        <v>73</v>
      </c>
      <c r="E24" s="920" t="s">
        <v>128</v>
      </c>
      <c r="F24" s="920" t="s">
        <v>10156</v>
      </c>
      <c r="G24">
        <v>33</v>
      </c>
      <c r="H24">
        <v>594</v>
      </c>
      <c r="I24" t="s">
        <v>10157</v>
      </c>
    </row>
    <row r="25" spans="1:9" ht="14" hidden="1">
      <c r="A25" s="918" t="s">
        <v>2818</v>
      </c>
      <c r="B25" s="918" t="s">
        <v>2819</v>
      </c>
      <c r="C25" s="918" t="s">
        <v>967</v>
      </c>
      <c r="D25" t="s">
        <v>73</v>
      </c>
      <c r="E25" s="920" t="s">
        <v>85</v>
      </c>
      <c r="F25" s="920" t="s">
        <v>10154</v>
      </c>
      <c r="G25">
        <v>37</v>
      </c>
      <c r="H25">
        <v>962</v>
      </c>
      <c r="I25" t="s">
        <v>10165</v>
      </c>
    </row>
    <row r="26" spans="1:9" ht="14" hidden="1">
      <c r="A26" s="918" t="s">
        <v>3484</v>
      </c>
      <c r="B26" s="918" t="s">
        <v>3485</v>
      </c>
      <c r="C26" s="918" t="s">
        <v>967</v>
      </c>
      <c r="D26" t="s">
        <v>73</v>
      </c>
      <c r="E26" s="920" t="s">
        <v>85</v>
      </c>
      <c r="F26" s="920" t="s">
        <v>10154</v>
      </c>
      <c r="G26">
        <v>37</v>
      </c>
      <c r="H26">
        <v>962</v>
      </c>
      <c r="I26" t="s">
        <v>10169</v>
      </c>
    </row>
    <row r="27" spans="1:9" ht="14" hidden="1">
      <c r="A27" s="918" t="s">
        <v>3448</v>
      </c>
      <c r="B27" s="918" t="s">
        <v>3449</v>
      </c>
      <c r="C27" s="918" t="s">
        <v>967</v>
      </c>
      <c r="D27" t="s">
        <v>73</v>
      </c>
      <c r="E27" s="920" t="s">
        <v>85</v>
      </c>
      <c r="F27" s="920" t="s">
        <v>10154</v>
      </c>
      <c r="G27">
        <v>37</v>
      </c>
      <c r="H27">
        <v>962</v>
      </c>
      <c r="I27" t="s">
        <v>10169</v>
      </c>
    </row>
    <row r="28" spans="1:9" ht="14" hidden="1">
      <c r="A28" s="918" t="s">
        <v>218</v>
      </c>
      <c r="B28" s="918" t="s">
        <v>10170</v>
      </c>
      <c r="C28" s="918" t="s">
        <v>992</v>
      </c>
      <c r="D28" t="s">
        <v>73</v>
      </c>
      <c r="E28" s="920" t="s">
        <v>128</v>
      </c>
      <c r="F28" s="920" t="s">
        <v>10156</v>
      </c>
      <c r="G28">
        <v>36</v>
      </c>
      <c r="H28">
        <v>720</v>
      </c>
      <c r="I28" t="s">
        <v>10157</v>
      </c>
    </row>
    <row r="29" spans="1:9" ht="14" hidden="1">
      <c r="A29" s="918" t="s">
        <v>1185</v>
      </c>
      <c r="B29" s="918" t="s">
        <v>1186</v>
      </c>
      <c r="C29" s="918" t="s">
        <v>1187</v>
      </c>
      <c r="D29" t="s">
        <v>73</v>
      </c>
      <c r="E29" s="920" t="s">
        <v>108</v>
      </c>
      <c r="F29" s="920" t="s">
        <v>10156</v>
      </c>
      <c r="G29">
        <v>36</v>
      </c>
      <c r="H29">
        <v>720</v>
      </c>
      <c r="I29" t="s">
        <v>10171</v>
      </c>
    </row>
    <row r="30" spans="1:9" ht="14" hidden="1">
      <c r="A30" s="918" t="s">
        <v>714</v>
      </c>
      <c r="B30" s="918" t="s">
        <v>1173</v>
      </c>
      <c r="C30" s="918" t="s">
        <v>1166</v>
      </c>
      <c r="D30" t="s">
        <v>73</v>
      </c>
      <c r="E30" s="920" t="s">
        <v>108</v>
      </c>
      <c r="F30" s="920" t="s">
        <v>10156</v>
      </c>
      <c r="G30">
        <v>36</v>
      </c>
      <c r="H30">
        <v>576</v>
      </c>
      <c r="I30" t="s">
        <v>10172</v>
      </c>
    </row>
    <row r="31" spans="1:9" ht="14" hidden="1">
      <c r="A31" s="918" t="s">
        <v>1977</v>
      </c>
      <c r="B31" s="918" t="s">
        <v>1978</v>
      </c>
      <c r="C31" s="918" t="s">
        <v>992</v>
      </c>
      <c r="D31" t="s">
        <v>73</v>
      </c>
      <c r="E31" s="920" t="s">
        <v>108</v>
      </c>
      <c r="F31" s="920" t="s">
        <v>10156</v>
      </c>
      <c r="G31">
        <v>33</v>
      </c>
      <c r="H31">
        <v>660</v>
      </c>
      <c r="I31" t="s">
        <v>10160</v>
      </c>
    </row>
    <row r="32" spans="1:9" ht="14" hidden="1">
      <c r="A32" s="918" t="s">
        <v>329</v>
      </c>
      <c r="B32" s="918" t="s">
        <v>330</v>
      </c>
      <c r="C32" s="918" t="s">
        <v>992</v>
      </c>
      <c r="D32" t="s">
        <v>331</v>
      </c>
      <c r="E32" s="920" t="s">
        <v>128</v>
      </c>
      <c r="F32" s="920" t="s">
        <v>10156</v>
      </c>
      <c r="G32">
        <v>36</v>
      </c>
      <c r="H32">
        <v>720</v>
      </c>
      <c r="I32" t="s">
        <v>10157</v>
      </c>
    </row>
    <row r="33" spans="1:9" ht="14" hidden="1">
      <c r="A33" s="918" t="s">
        <v>585</v>
      </c>
      <c r="B33" s="918" t="s">
        <v>103</v>
      </c>
      <c r="C33" s="918" t="s">
        <v>992</v>
      </c>
      <c r="D33" t="s">
        <v>331</v>
      </c>
      <c r="E33" s="920" t="s">
        <v>128</v>
      </c>
      <c r="F33" s="920" t="s">
        <v>10156</v>
      </c>
      <c r="G33">
        <v>36</v>
      </c>
      <c r="H33">
        <v>720</v>
      </c>
      <c r="I33" t="s">
        <v>10157</v>
      </c>
    </row>
    <row r="34" spans="1:9" ht="14" hidden="1">
      <c r="A34" s="918" t="s">
        <v>462</v>
      </c>
      <c r="B34" s="918" t="s">
        <v>1229</v>
      </c>
      <c r="C34" s="918" t="s">
        <v>1187</v>
      </c>
      <c r="D34" t="s">
        <v>73</v>
      </c>
      <c r="E34" s="920" t="s">
        <v>108</v>
      </c>
      <c r="F34" s="920" t="s">
        <v>10156</v>
      </c>
      <c r="G34">
        <v>33</v>
      </c>
      <c r="H34">
        <v>660</v>
      </c>
      <c r="I34" t="s">
        <v>10171</v>
      </c>
    </row>
    <row r="35" spans="1:9" ht="14" hidden="1">
      <c r="A35" s="918" t="s">
        <v>171</v>
      </c>
      <c r="B35" s="918" t="s">
        <v>1731</v>
      </c>
      <c r="C35" s="918" t="s">
        <v>992</v>
      </c>
      <c r="D35" t="s">
        <v>73</v>
      </c>
      <c r="E35" s="920" t="s">
        <v>108</v>
      </c>
      <c r="F35" s="920" t="s">
        <v>10156</v>
      </c>
      <c r="G35">
        <v>33</v>
      </c>
      <c r="H35">
        <v>660</v>
      </c>
      <c r="I35" t="s">
        <v>10160</v>
      </c>
    </row>
    <row r="36" spans="1:9" ht="14" hidden="1">
      <c r="A36" s="918" t="s">
        <v>551</v>
      </c>
      <c r="B36" s="918" t="s">
        <v>2151</v>
      </c>
      <c r="C36" s="918" t="s">
        <v>2136</v>
      </c>
      <c r="D36" t="s">
        <v>73</v>
      </c>
      <c r="E36" s="920" t="s">
        <v>85</v>
      </c>
      <c r="F36" s="920" t="s">
        <v>10154</v>
      </c>
      <c r="G36">
        <v>36</v>
      </c>
      <c r="H36">
        <v>792</v>
      </c>
      <c r="I36" t="s">
        <v>10173</v>
      </c>
    </row>
    <row r="37" spans="1:9" ht="14" hidden="1">
      <c r="A37" s="918" t="s">
        <v>2740</v>
      </c>
      <c r="B37" s="918" t="s">
        <v>10174</v>
      </c>
      <c r="C37" s="918" t="s">
        <v>2136</v>
      </c>
      <c r="D37" t="s">
        <v>73</v>
      </c>
      <c r="E37" s="920" t="s">
        <v>85</v>
      </c>
      <c r="F37" s="920" t="s">
        <v>10154</v>
      </c>
      <c r="G37">
        <v>36</v>
      </c>
      <c r="H37">
        <v>792</v>
      </c>
      <c r="I37" t="s">
        <v>10173</v>
      </c>
    </row>
    <row r="38" spans="1:9" ht="14" hidden="1">
      <c r="A38" s="918" t="s">
        <v>474</v>
      </c>
      <c r="B38" s="918" t="s">
        <v>10175</v>
      </c>
      <c r="C38" s="918" t="s">
        <v>967</v>
      </c>
      <c r="D38" t="s">
        <v>73</v>
      </c>
      <c r="E38" s="920" t="s">
        <v>85</v>
      </c>
      <c r="F38" s="920" t="s">
        <v>10154</v>
      </c>
      <c r="G38">
        <v>36</v>
      </c>
      <c r="H38">
        <v>864</v>
      </c>
      <c r="I38" t="s">
        <v>10176</v>
      </c>
    </row>
    <row r="39" spans="1:9" ht="14" hidden="1">
      <c r="A39" s="918" t="s">
        <v>529</v>
      </c>
      <c r="B39" s="918" t="s">
        <v>10177</v>
      </c>
      <c r="C39" s="918" t="s">
        <v>967</v>
      </c>
      <c r="D39" t="s">
        <v>73</v>
      </c>
      <c r="E39" s="920" t="s">
        <v>85</v>
      </c>
      <c r="F39" s="920" t="s">
        <v>10154</v>
      </c>
      <c r="G39">
        <v>36</v>
      </c>
      <c r="H39">
        <v>864</v>
      </c>
      <c r="I39" t="s">
        <v>10176</v>
      </c>
    </row>
    <row r="40" spans="1:9" ht="14" hidden="1">
      <c r="A40" s="918" t="s">
        <v>763</v>
      </c>
      <c r="B40" s="918" t="s">
        <v>10178</v>
      </c>
      <c r="C40" s="918" t="s">
        <v>967</v>
      </c>
      <c r="D40" t="s">
        <v>73</v>
      </c>
      <c r="E40" s="920" t="s">
        <v>85</v>
      </c>
      <c r="F40" s="920" t="s">
        <v>10154</v>
      </c>
      <c r="G40">
        <v>36</v>
      </c>
      <c r="H40">
        <v>864</v>
      </c>
      <c r="I40" t="s">
        <v>10176</v>
      </c>
    </row>
    <row r="41" spans="1:9" ht="14" hidden="1">
      <c r="A41" s="918" t="s">
        <v>1429</v>
      </c>
      <c r="B41" s="918" t="s">
        <v>1430</v>
      </c>
      <c r="C41" s="918" t="s">
        <v>1187</v>
      </c>
      <c r="D41" t="s">
        <v>73</v>
      </c>
      <c r="E41" s="920" t="s">
        <v>108</v>
      </c>
      <c r="F41" s="920" t="s">
        <v>10156</v>
      </c>
      <c r="G41">
        <v>36</v>
      </c>
      <c r="H41">
        <v>720</v>
      </c>
      <c r="I41" t="s">
        <v>10171</v>
      </c>
    </row>
    <row r="42" spans="1:9" ht="14" hidden="1">
      <c r="A42" s="918" t="s">
        <v>299</v>
      </c>
      <c r="B42" s="918" t="s">
        <v>300</v>
      </c>
      <c r="C42" s="918" t="s">
        <v>967</v>
      </c>
      <c r="D42" t="s">
        <v>73</v>
      </c>
      <c r="E42" s="920" t="s">
        <v>85</v>
      </c>
      <c r="F42" s="920" t="s">
        <v>10154</v>
      </c>
      <c r="G42">
        <v>37</v>
      </c>
      <c r="H42">
        <v>962</v>
      </c>
      <c r="I42" t="s">
        <v>10169</v>
      </c>
    </row>
    <row r="43" spans="1:9" ht="14" hidden="1">
      <c r="A43" s="918" t="s">
        <v>306</v>
      </c>
      <c r="B43" s="918" t="s">
        <v>307</v>
      </c>
      <c r="C43" s="918" t="s">
        <v>967</v>
      </c>
      <c r="D43" t="s">
        <v>73</v>
      </c>
      <c r="E43" s="920" t="s">
        <v>85</v>
      </c>
      <c r="F43" s="920" t="s">
        <v>10154</v>
      </c>
      <c r="G43">
        <v>37</v>
      </c>
      <c r="H43">
        <v>962</v>
      </c>
      <c r="I43" t="s">
        <v>10169</v>
      </c>
    </row>
    <row r="44" spans="1:9" ht="14" hidden="1">
      <c r="A44" s="918" t="s">
        <v>133</v>
      </c>
      <c r="B44" s="918" t="s">
        <v>134</v>
      </c>
      <c r="C44" s="918" t="s">
        <v>992</v>
      </c>
      <c r="D44" t="s">
        <v>73</v>
      </c>
      <c r="E44" s="920" t="s">
        <v>108</v>
      </c>
      <c r="F44" s="920" t="s">
        <v>10156</v>
      </c>
      <c r="G44">
        <v>33</v>
      </c>
      <c r="H44">
        <v>594</v>
      </c>
      <c r="I44" t="s">
        <v>10160</v>
      </c>
    </row>
    <row r="45" spans="1:9" ht="14" hidden="1">
      <c r="A45" s="918" t="s">
        <v>4079</v>
      </c>
      <c r="B45" s="918" t="s">
        <v>4080</v>
      </c>
      <c r="C45" s="918" t="s">
        <v>992</v>
      </c>
      <c r="D45" t="s">
        <v>73</v>
      </c>
      <c r="E45" s="920" t="s">
        <v>108</v>
      </c>
      <c r="F45" s="920" t="s">
        <v>10156</v>
      </c>
      <c r="G45">
        <v>36</v>
      </c>
      <c r="H45">
        <v>720</v>
      </c>
      <c r="I45" t="s">
        <v>10179</v>
      </c>
    </row>
    <row r="46" spans="1:9" ht="14" hidden="1">
      <c r="A46" s="918" t="s">
        <v>4070</v>
      </c>
      <c r="B46" s="918" t="s">
        <v>4071</v>
      </c>
      <c r="C46" s="918" t="s">
        <v>992</v>
      </c>
      <c r="D46" t="s">
        <v>73</v>
      </c>
      <c r="E46" s="920" t="s">
        <v>108</v>
      </c>
      <c r="F46" s="920" t="s">
        <v>10156</v>
      </c>
      <c r="G46">
        <v>36</v>
      </c>
      <c r="H46">
        <v>720</v>
      </c>
      <c r="I46" t="s">
        <v>10179</v>
      </c>
    </row>
    <row r="47" spans="1:9" ht="14" hidden="1">
      <c r="A47" s="918" t="s">
        <v>602</v>
      </c>
      <c r="B47" s="918" t="s">
        <v>603</v>
      </c>
      <c r="C47" s="918" t="s">
        <v>992</v>
      </c>
      <c r="D47" t="s">
        <v>73</v>
      </c>
      <c r="E47" s="920" t="s">
        <v>108</v>
      </c>
      <c r="F47" s="920" t="s">
        <v>10154</v>
      </c>
      <c r="G47">
        <v>37</v>
      </c>
      <c r="H47">
        <v>962</v>
      </c>
    </row>
    <row r="48" spans="1:9" ht="14" hidden="1">
      <c r="A48" s="918" t="s">
        <v>2925</v>
      </c>
      <c r="B48" s="918" t="s">
        <v>1300</v>
      </c>
      <c r="C48" s="918" t="s">
        <v>992</v>
      </c>
      <c r="D48" t="s">
        <v>73</v>
      </c>
      <c r="E48" s="920" t="s">
        <v>108</v>
      </c>
      <c r="F48" s="920" t="s">
        <v>10156</v>
      </c>
      <c r="G48">
        <v>33</v>
      </c>
      <c r="H48">
        <v>594</v>
      </c>
      <c r="I48" t="s">
        <v>10160</v>
      </c>
    </row>
    <row r="49" spans="1:9" ht="14" hidden="1">
      <c r="A49" s="918" t="s">
        <v>706</v>
      </c>
      <c r="B49" s="918" t="s">
        <v>10180</v>
      </c>
      <c r="C49" s="918" t="s">
        <v>967</v>
      </c>
      <c r="D49" t="s">
        <v>73</v>
      </c>
      <c r="E49" s="920" t="s">
        <v>85</v>
      </c>
      <c r="F49" s="920" t="s">
        <v>10154</v>
      </c>
      <c r="G49">
        <v>36</v>
      </c>
      <c r="H49">
        <v>864</v>
      </c>
      <c r="I49" t="s">
        <v>10162</v>
      </c>
    </row>
    <row r="50" spans="1:9" ht="14" hidden="1">
      <c r="A50" s="918" t="s">
        <v>691</v>
      </c>
      <c r="B50" s="918" t="s">
        <v>10181</v>
      </c>
      <c r="C50" s="918" t="s">
        <v>967</v>
      </c>
      <c r="D50" t="s">
        <v>73</v>
      </c>
      <c r="E50" s="920" t="s">
        <v>85</v>
      </c>
      <c r="F50" s="920" t="s">
        <v>10154</v>
      </c>
      <c r="G50">
        <v>36</v>
      </c>
      <c r="H50">
        <v>864</v>
      </c>
      <c r="I50" t="s">
        <v>10162</v>
      </c>
    </row>
    <row r="51" spans="1:9" ht="14" hidden="1">
      <c r="A51" s="918" t="s">
        <v>378</v>
      </c>
      <c r="B51" s="918" t="s">
        <v>10182</v>
      </c>
      <c r="C51" s="918" t="s">
        <v>992</v>
      </c>
      <c r="D51" t="s">
        <v>73</v>
      </c>
      <c r="E51" s="920" t="s">
        <v>128</v>
      </c>
      <c r="F51" s="920" t="s">
        <v>10156</v>
      </c>
      <c r="G51">
        <v>36</v>
      </c>
      <c r="H51">
        <v>720</v>
      </c>
      <c r="I51" t="s">
        <v>10157</v>
      </c>
    </row>
    <row r="52" spans="1:9" ht="14" hidden="1">
      <c r="A52" s="918" t="s">
        <v>118</v>
      </c>
      <c r="B52" s="918" t="s">
        <v>119</v>
      </c>
      <c r="C52" s="918" t="s">
        <v>992</v>
      </c>
      <c r="D52" t="s">
        <v>73</v>
      </c>
      <c r="E52" s="920" t="s">
        <v>128</v>
      </c>
      <c r="F52" s="920" t="s">
        <v>10156</v>
      </c>
      <c r="G52">
        <v>36</v>
      </c>
      <c r="H52">
        <v>576</v>
      </c>
      <c r="I52" t="s">
        <v>10183</v>
      </c>
    </row>
    <row r="53" spans="1:9" ht="14" hidden="1">
      <c r="A53" s="918" t="s">
        <v>189</v>
      </c>
      <c r="B53" s="918" t="s">
        <v>190</v>
      </c>
      <c r="C53" s="918" t="s">
        <v>967</v>
      </c>
      <c r="D53" t="s">
        <v>73</v>
      </c>
      <c r="E53" s="920" t="s">
        <v>108</v>
      </c>
      <c r="F53" s="920" t="s">
        <v>10154</v>
      </c>
      <c r="G53">
        <v>36</v>
      </c>
      <c r="H53">
        <v>864</v>
      </c>
      <c r="I53" t="s">
        <v>10164</v>
      </c>
    </row>
    <row r="54" spans="1:9" ht="14" hidden="1">
      <c r="A54" s="918" t="s">
        <v>560</v>
      </c>
      <c r="B54" s="918" t="s">
        <v>196</v>
      </c>
      <c r="C54" s="918" t="s">
        <v>992</v>
      </c>
      <c r="D54" t="s">
        <v>73</v>
      </c>
      <c r="E54" s="920" t="s">
        <v>94</v>
      </c>
      <c r="F54" s="920" t="s">
        <v>10154</v>
      </c>
      <c r="G54">
        <v>36</v>
      </c>
      <c r="H54">
        <v>936</v>
      </c>
      <c r="I54" t="s">
        <v>10184</v>
      </c>
    </row>
    <row r="55" spans="1:9" ht="14" hidden="1">
      <c r="A55" s="918" t="s">
        <v>570</v>
      </c>
      <c r="B55" s="918" t="s">
        <v>571</v>
      </c>
      <c r="C55" s="918" t="s">
        <v>992</v>
      </c>
      <c r="D55" t="s">
        <v>73</v>
      </c>
      <c r="E55" s="920" t="s">
        <v>94</v>
      </c>
      <c r="F55" s="920" t="s">
        <v>10154</v>
      </c>
      <c r="G55">
        <v>36</v>
      </c>
      <c r="H55">
        <v>936</v>
      </c>
      <c r="I55" t="s">
        <v>10184</v>
      </c>
    </row>
    <row r="56" spans="1:9" ht="14" hidden="1">
      <c r="A56" s="918" t="s">
        <v>1062</v>
      </c>
      <c r="B56" s="918" t="s">
        <v>1063</v>
      </c>
      <c r="C56" s="918" t="s">
        <v>967</v>
      </c>
      <c r="D56" t="s">
        <v>73</v>
      </c>
      <c r="E56" s="920" t="s">
        <v>108</v>
      </c>
      <c r="F56" s="920" t="s">
        <v>10154</v>
      </c>
      <c r="G56">
        <v>36</v>
      </c>
      <c r="H56">
        <v>864</v>
      </c>
      <c r="I56" t="s">
        <v>10164</v>
      </c>
    </row>
    <row r="57" spans="1:9" ht="14" hidden="1">
      <c r="A57" s="918" t="s">
        <v>204</v>
      </c>
      <c r="B57" s="918" t="s">
        <v>10185</v>
      </c>
      <c r="C57" s="918" t="s">
        <v>967</v>
      </c>
      <c r="D57" t="s">
        <v>73</v>
      </c>
      <c r="E57" s="920" t="s">
        <v>94</v>
      </c>
      <c r="F57" s="920" t="s">
        <v>10154</v>
      </c>
      <c r="G57">
        <v>36</v>
      </c>
      <c r="H57">
        <v>936</v>
      </c>
      <c r="I57" t="s">
        <v>10167</v>
      </c>
    </row>
    <row r="58" spans="1:9" ht="14" hidden="1">
      <c r="A58" s="918" t="s">
        <v>1043</v>
      </c>
      <c r="B58" s="918" t="s">
        <v>330</v>
      </c>
      <c r="C58" s="918" t="s">
        <v>967</v>
      </c>
      <c r="D58" t="s">
        <v>73</v>
      </c>
      <c r="E58" s="920" t="s">
        <v>108</v>
      </c>
      <c r="F58" s="920" t="s">
        <v>10154</v>
      </c>
      <c r="G58">
        <v>36</v>
      </c>
      <c r="H58">
        <v>720</v>
      </c>
      <c r="I58" t="s">
        <v>10155</v>
      </c>
    </row>
    <row r="59" spans="1:9" ht="14" hidden="1">
      <c r="A59" s="918" t="s">
        <v>1033</v>
      </c>
      <c r="B59" s="918" t="s">
        <v>886</v>
      </c>
      <c r="C59" s="918" t="s">
        <v>992</v>
      </c>
      <c r="D59" t="s">
        <v>73</v>
      </c>
      <c r="E59" s="920" t="s">
        <v>108</v>
      </c>
      <c r="F59" s="920" t="s">
        <v>10154</v>
      </c>
      <c r="G59">
        <v>36</v>
      </c>
      <c r="H59">
        <v>720</v>
      </c>
      <c r="I59" t="s">
        <v>10186</v>
      </c>
    </row>
    <row r="60" spans="1:9" ht="14" hidden="1">
      <c r="A60" s="918" t="s">
        <v>1077</v>
      </c>
      <c r="B60" s="918" t="s">
        <v>103</v>
      </c>
      <c r="C60" s="918" t="s">
        <v>992</v>
      </c>
      <c r="D60" t="s">
        <v>73</v>
      </c>
      <c r="E60" s="920" t="s">
        <v>108</v>
      </c>
      <c r="F60" s="920" t="s">
        <v>10156</v>
      </c>
      <c r="G60">
        <v>36</v>
      </c>
      <c r="H60">
        <v>720</v>
      </c>
      <c r="I60" t="s">
        <v>10187</v>
      </c>
    </row>
    <row r="61" spans="1:9" ht="14" hidden="1">
      <c r="A61" s="918" t="s">
        <v>885</v>
      </c>
      <c r="B61" s="918" t="s">
        <v>886</v>
      </c>
      <c r="C61" s="918" t="s">
        <v>992</v>
      </c>
      <c r="D61" t="s">
        <v>73</v>
      </c>
      <c r="E61" s="920" t="s">
        <v>108</v>
      </c>
      <c r="F61" s="920" t="s">
        <v>10156</v>
      </c>
      <c r="G61">
        <v>36</v>
      </c>
      <c r="H61">
        <v>720</v>
      </c>
      <c r="I61" t="s">
        <v>10187</v>
      </c>
    </row>
    <row r="62" spans="1:9" ht="14" hidden="1">
      <c r="A62" s="918" t="s">
        <v>1299</v>
      </c>
      <c r="B62" s="918" t="s">
        <v>1300</v>
      </c>
      <c r="C62" s="918" t="s">
        <v>967</v>
      </c>
      <c r="D62" t="s">
        <v>73</v>
      </c>
      <c r="E62" s="920" t="s">
        <v>108</v>
      </c>
      <c r="F62" s="920" t="s">
        <v>10156</v>
      </c>
      <c r="G62">
        <v>33</v>
      </c>
      <c r="H62">
        <v>594</v>
      </c>
      <c r="I62" t="s">
        <v>10188</v>
      </c>
    </row>
    <row r="63" spans="1:9" ht="14" hidden="1">
      <c r="A63" s="918" t="s">
        <v>1104</v>
      </c>
      <c r="B63" s="918" t="s">
        <v>1105</v>
      </c>
      <c r="C63" s="918" t="s">
        <v>992</v>
      </c>
      <c r="D63" t="s">
        <v>73</v>
      </c>
      <c r="E63" s="920" t="s">
        <v>108</v>
      </c>
      <c r="F63" s="920" t="s">
        <v>10154</v>
      </c>
      <c r="G63">
        <v>36</v>
      </c>
      <c r="H63">
        <v>864</v>
      </c>
      <c r="I63" t="s">
        <v>10163</v>
      </c>
    </row>
    <row r="64" spans="1:9" ht="14" hidden="1">
      <c r="A64" s="918" t="s">
        <v>1521</v>
      </c>
      <c r="B64" s="918" t="s">
        <v>1522</v>
      </c>
      <c r="C64" s="918" t="s">
        <v>967</v>
      </c>
      <c r="D64" t="s">
        <v>73</v>
      </c>
      <c r="E64" s="920" t="s">
        <v>85</v>
      </c>
      <c r="F64" s="920" t="s">
        <v>10154</v>
      </c>
      <c r="G64">
        <v>36</v>
      </c>
      <c r="H64">
        <v>864</v>
      </c>
      <c r="I64" t="s">
        <v>10169</v>
      </c>
    </row>
    <row r="65" spans="1:9" ht="14" hidden="1">
      <c r="A65" s="918" t="s">
        <v>1532</v>
      </c>
      <c r="B65" s="918" t="s">
        <v>1533</v>
      </c>
      <c r="C65" s="918" t="s">
        <v>967</v>
      </c>
      <c r="D65" t="s">
        <v>73</v>
      </c>
      <c r="E65" s="920" t="s">
        <v>85</v>
      </c>
      <c r="F65" s="920" t="s">
        <v>10154</v>
      </c>
      <c r="G65">
        <v>36</v>
      </c>
      <c r="H65">
        <v>864</v>
      </c>
      <c r="I65" t="s">
        <v>10169</v>
      </c>
    </row>
    <row r="66" spans="1:9" ht="14" hidden="1">
      <c r="A66" s="918" t="s">
        <v>1584</v>
      </c>
      <c r="B66" s="918" t="s">
        <v>1585</v>
      </c>
      <c r="C66" s="918" t="s">
        <v>992</v>
      </c>
      <c r="D66" t="s">
        <v>73</v>
      </c>
      <c r="E66" s="920" t="s">
        <v>108</v>
      </c>
      <c r="F66" s="920" t="s">
        <v>10156</v>
      </c>
      <c r="G66">
        <v>36</v>
      </c>
      <c r="H66">
        <v>720</v>
      </c>
      <c r="I66" t="s">
        <v>10189</v>
      </c>
    </row>
    <row r="67" spans="1:9" ht="14" hidden="1">
      <c r="A67" s="918" t="s">
        <v>1569</v>
      </c>
      <c r="B67" s="918" t="s">
        <v>1570</v>
      </c>
      <c r="C67" s="918" t="s">
        <v>992</v>
      </c>
      <c r="D67" t="s">
        <v>73</v>
      </c>
      <c r="E67" s="920" t="s">
        <v>108</v>
      </c>
      <c r="F67" s="920" t="s">
        <v>10156</v>
      </c>
      <c r="G67">
        <v>36</v>
      </c>
      <c r="H67">
        <v>720</v>
      </c>
      <c r="I67" t="s">
        <v>10189</v>
      </c>
    </row>
    <row r="68" spans="1:9" ht="14" hidden="1">
      <c r="A68" s="918" t="s">
        <v>1461</v>
      </c>
      <c r="B68" s="918" t="s">
        <v>103</v>
      </c>
      <c r="C68" s="918" t="s">
        <v>992</v>
      </c>
      <c r="D68" t="s">
        <v>73</v>
      </c>
      <c r="E68" s="920" t="s">
        <v>128</v>
      </c>
      <c r="F68" s="920" t="s">
        <v>10156</v>
      </c>
      <c r="G68">
        <v>36</v>
      </c>
      <c r="H68">
        <v>720</v>
      </c>
      <c r="I68" t="s">
        <v>10157</v>
      </c>
    </row>
    <row r="69" spans="1:9" ht="14" hidden="1">
      <c r="A69" s="918" t="s">
        <v>1894</v>
      </c>
      <c r="B69" s="918" t="s">
        <v>1895</v>
      </c>
      <c r="C69" s="918" t="s">
        <v>992</v>
      </c>
      <c r="D69" t="s">
        <v>73</v>
      </c>
      <c r="E69" s="920" t="s">
        <v>108</v>
      </c>
      <c r="F69" s="920" t="s">
        <v>10156</v>
      </c>
      <c r="G69">
        <v>33</v>
      </c>
      <c r="H69">
        <v>660</v>
      </c>
      <c r="I69" t="s">
        <v>10160</v>
      </c>
    </row>
    <row r="70" spans="1:9" ht="14" hidden="1">
      <c r="A70" s="918" t="s">
        <v>10190</v>
      </c>
      <c r="B70" s="918" t="s">
        <v>10191</v>
      </c>
      <c r="C70" s="918" t="s">
        <v>967</v>
      </c>
      <c r="D70" t="s">
        <v>73</v>
      </c>
      <c r="E70" s="920" t="s">
        <v>94</v>
      </c>
      <c r="F70" s="920" t="s">
        <v>10154</v>
      </c>
      <c r="G70">
        <v>36</v>
      </c>
      <c r="H70">
        <v>936</v>
      </c>
      <c r="I70" t="s">
        <v>10192</v>
      </c>
    </row>
    <row r="71" spans="1:9" ht="14" hidden="1">
      <c r="A71" s="918" t="s">
        <v>10193</v>
      </c>
      <c r="B71" s="918" t="s">
        <v>10194</v>
      </c>
      <c r="C71" s="918" t="s">
        <v>967</v>
      </c>
      <c r="D71" t="s">
        <v>73</v>
      </c>
      <c r="E71" s="920" t="s">
        <v>94</v>
      </c>
      <c r="F71" s="920" t="s">
        <v>10154</v>
      </c>
      <c r="G71">
        <v>37</v>
      </c>
      <c r="H71">
        <v>962</v>
      </c>
      <c r="I71" t="s">
        <v>10192</v>
      </c>
    </row>
    <row r="72" spans="1:9" ht="14" hidden="1">
      <c r="A72" s="918" t="s">
        <v>5097</v>
      </c>
      <c r="B72" s="918" t="s">
        <v>103</v>
      </c>
      <c r="C72" s="918" t="s">
        <v>992</v>
      </c>
      <c r="D72" t="s">
        <v>331</v>
      </c>
      <c r="E72" s="920" t="s">
        <v>94</v>
      </c>
      <c r="F72" s="920" t="s">
        <v>10156</v>
      </c>
      <c r="G72">
        <v>36</v>
      </c>
      <c r="H72">
        <v>720</v>
      </c>
      <c r="I72" t="s">
        <v>10195</v>
      </c>
    </row>
    <row r="73" spans="1:9" ht="14" hidden="1">
      <c r="A73" s="918" t="s">
        <v>5085</v>
      </c>
      <c r="B73" s="918" t="s">
        <v>330</v>
      </c>
      <c r="C73" s="918" t="s">
        <v>992</v>
      </c>
      <c r="D73" t="s">
        <v>331</v>
      </c>
      <c r="E73" s="920" t="s">
        <v>94</v>
      </c>
      <c r="F73" s="920" t="s">
        <v>10156</v>
      </c>
      <c r="G73">
        <v>36</v>
      </c>
      <c r="H73">
        <v>720</v>
      </c>
      <c r="I73" t="s">
        <v>10157</v>
      </c>
    </row>
    <row r="74" spans="1:9" ht="14.5" hidden="1">
      <c r="A74" s="918" t="s">
        <v>5036</v>
      </c>
      <c r="B74" s="918" t="s">
        <v>1807</v>
      </c>
      <c r="C74" s="918" t="s">
        <v>10196</v>
      </c>
      <c r="D74" t="s">
        <v>331</v>
      </c>
      <c r="E74" s="920" t="s">
        <v>94</v>
      </c>
      <c r="F74" s="920" t="s">
        <v>10156</v>
      </c>
      <c r="G74">
        <v>33</v>
      </c>
      <c r="H74">
        <v>594</v>
      </c>
      <c r="I74" t="s">
        <v>10197</v>
      </c>
    </row>
    <row r="75" spans="1:9" ht="14.5" hidden="1">
      <c r="A75" s="918" t="s">
        <v>5052</v>
      </c>
      <c r="B75" s="918" t="s">
        <v>1484</v>
      </c>
      <c r="C75" s="918" t="s">
        <v>10196</v>
      </c>
      <c r="D75" t="s">
        <v>331</v>
      </c>
      <c r="E75" s="920" t="s">
        <v>94</v>
      </c>
      <c r="F75" s="920" t="s">
        <v>10156</v>
      </c>
      <c r="G75">
        <v>33</v>
      </c>
      <c r="H75">
        <v>594</v>
      </c>
      <c r="I75" t="s">
        <v>10197</v>
      </c>
    </row>
    <row r="76" spans="1:9" ht="14" hidden="1">
      <c r="A76" s="918" t="s">
        <v>10198</v>
      </c>
      <c r="B76" s="918" t="s">
        <v>10199</v>
      </c>
      <c r="C76" s="918" t="s">
        <v>1166</v>
      </c>
      <c r="D76" t="s">
        <v>73</v>
      </c>
      <c r="E76" s="920" t="s">
        <v>94</v>
      </c>
      <c r="F76" s="920" t="s">
        <v>10156</v>
      </c>
      <c r="G76">
        <v>36</v>
      </c>
      <c r="H76">
        <v>720</v>
      </c>
      <c r="I76" t="s">
        <v>10200</v>
      </c>
    </row>
    <row r="77" spans="1:9" ht="14" hidden="1">
      <c r="A77" s="918" t="s">
        <v>10201</v>
      </c>
      <c r="B77" s="918" t="s">
        <v>10202</v>
      </c>
      <c r="C77" s="918" t="s">
        <v>992</v>
      </c>
      <c r="D77" t="s">
        <v>73</v>
      </c>
      <c r="E77" s="920" t="s">
        <v>85</v>
      </c>
      <c r="F77" s="920" t="s">
        <v>10154</v>
      </c>
      <c r="G77">
        <v>37</v>
      </c>
      <c r="H77">
        <v>962</v>
      </c>
      <c r="I77" t="s">
        <v>10165</v>
      </c>
    </row>
    <row r="78" spans="1:9" ht="14" hidden="1">
      <c r="A78" s="918" t="s">
        <v>10203</v>
      </c>
      <c r="B78" s="918" t="s">
        <v>10204</v>
      </c>
      <c r="C78" s="918" t="s">
        <v>992</v>
      </c>
      <c r="D78" t="s">
        <v>73</v>
      </c>
      <c r="E78" s="920" t="s">
        <v>108</v>
      </c>
      <c r="F78" s="920" t="s">
        <v>10156</v>
      </c>
      <c r="G78">
        <v>36</v>
      </c>
      <c r="H78">
        <v>936</v>
      </c>
      <c r="I78" t="s">
        <v>10158</v>
      </c>
    </row>
    <row r="79" spans="1:9" ht="14.5" hidden="1">
      <c r="A79" s="918" t="s">
        <v>4592</v>
      </c>
      <c r="B79" s="918" t="s">
        <v>4593</v>
      </c>
      <c r="C79" s="918" t="s">
        <v>10196</v>
      </c>
      <c r="D79" t="s">
        <v>331</v>
      </c>
      <c r="E79" s="920" t="s">
        <v>94</v>
      </c>
      <c r="F79" s="920" t="s">
        <v>10156</v>
      </c>
      <c r="G79">
        <v>36</v>
      </c>
      <c r="H79">
        <v>720</v>
      </c>
      <c r="I79" t="s">
        <v>10197</v>
      </c>
    </row>
    <row r="80" spans="1:9" ht="14.5" hidden="1">
      <c r="A80" s="918" t="s">
        <v>4587</v>
      </c>
      <c r="B80" s="918" t="s">
        <v>330</v>
      </c>
      <c r="C80" s="918" t="s">
        <v>10196</v>
      </c>
      <c r="D80" t="s">
        <v>331</v>
      </c>
      <c r="E80" s="920" t="s">
        <v>94</v>
      </c>
      <c r="F80" s="920" t="s">
        <v>10156</v>
      </c>
      <c r="G80">
        <v>36</v>
      </c>
      <c r="H80">
        <v>720</v>
      </c>
      <c r="I80" t="s">
        <v>10197</v>
      </c>
    </row>
    <row r="81" spans="1:12" ht="14" hidden="1">
      <c r="A81" s="918" t="s">
        <v>10205</v>
      </c>
      <c r="B81" s="918" t="s">
        <v>10206</v>
      </c>
      <c r="C81" s="918" t="s">
        <v>992</v>
      </c>
      <c r="D81" t="s">
        <v>73</v>
      </c>
      <c r="E81" s="920" t="s">
        <v>94</v>
      </c>
      <c r="F81" s="920" t="s">
        <v>10156</v>
      </c>
      <c r="G81">
        <v>33</v>
      </c>
      <c r="H81">
        <v>594</v>
      </c>
      <c r="I81" t="s">
        <v>10157</v>
      </c>
    </row>
    <row r="82" spans="1:12" ht="14" hidden="1">
      <c r="A82" s="918" t="s">
        <v>10207</v>
      </c>
      <c r="B82" s="918" t="s">
        <v>10208</v>
      </c>
      <c r="C82" s="918" t="s">
        <v>992</v>
      </c>
      <c r="D82" t="s">
        <v>73</v>
      </c>
      <c r="E82" s="920" t="s">
        <v>108</v>
      </c>
      <c r="F82" s="920" t="s">
        <v>10154</v>
      </c>
      <c r="G82">
        <v>37</v>
      </c>
      <c r="H82">
        <v>962</v>
      </c>
      <c r="I82" t="s">
        <v>10209</v>
      </c>
    </row>
    <row r="83" spans="1:12" ht="14.5" hidden="1">
      <c r="A83" s="918" t="s">
        <v>2308</v>
      </c>
      <c r="B83" s="918" t="s">
        <v>1484</v>
      </c>
      <c r="C83" s="918" t="s">
        <v>10196</v>
      </c>
      <c r="D83" t="s">
        <v>73</v>
      </c>
      <c r="E83" s="920" t="s">
        <v>94</v>
      </c>
      <c r="F83" s="920" t="s">
        <v>10156</v>
      </c>
      <c r="G83">
        <v>33</v>
      </c>
      <c r="H83">
        <v>594</v>
      </c>
      <c r="I83" t="s">
        <v>10197</v>
      </c>
    </row>
    <row r="84" spans="1:12" ht="14.5" hidden="1">
      <c r="A84" s="918" t="s">
        <v>2299</v>
      </c>
      <c r="B84" s="918" t="s">
        <v>1682</v>
      </c>
      <c r="C84" s="918" t="s">
        <v>10196</v>
      </c>
      <c r="D84" t="s">
        <v>73</v>
      </c>
      <c r="E84" s="920" t="s">
        <v>94</v>
      </c>
      <c r="F84" s="920" t="s">
        <v>10156</v>
      </c>
      <c r="G84">
        <v>33</v>
      </c>
      <c r="H84">
        <v>594</v>
      </c>
      <c r="I84" t="s">
        <v>10210</v>
      </c>
    </row>
    <row r="85" spans="1:12" ht="14" hidden="1">
      <c r="A85" s="918" t="s">
        <v>10211</v>
      </c>
      <c r="B85" s="918" t="s">
        <v>330</v>
      </c>
      <c r="C85" s="918" t="s">
        <v>992</v>
      </c>
      <c r="D85" t="s">
        <v>73</v>
      </c>
      <c r="E85" s="920" t="s">
        <v>94</v>
      </c>
      <c r="F85" s="920" t="s">
        <v>10156</v>
      </c>
      <c r="G85">
        <v>36</v>
      </c>
      <c r="H85">
        <v>720</v>
      </c>
      <c r="I85" t="s">
        <v>10157</v>
      </c>
    </row>
    <row r="86" spans="1:12" ht="14" hidden="1">
      <c r="A86" s="918" t="s">
        <v>10212</v>
      </c>
      <c r="B86" s="918" t="s">
        <v>1356</v>
      </c>
      <c r="C86" s="918" t="s">
        <v>992</v>
      </c>
      <c r="D86" t="s">
        <v>73</v>
      </c>
      <c r="E86" s="920" t="s">
        <v>94</v>
      </c>
      <c r="F86" s="920" t="s">
        <v>10156</v>
      </c>
      <c r="G86">
        <v>33</v>
      </c>
      <c r="H86">
        <v>594</v>
      </c>
      <c r="I86" t="s">
        <v>10157</v>
      </c>
    </row>
    <row r="87" spans="1:12" ht="14" hidden="1">
      <c r="A87" s="918" t="s">
        <v>10213</v>
      </c>
      <c r="B87" s="918" t="s">
        <v>4080</v>
      </c>
      <c r="C87" s="918" t="s">
        <v>992</v>
      </c>
      <c r="D87" t="s">
        <v>73</v>
      </c>
      <c r="E87" s="920" t="s">
        <v>108</v>
      </c>
      <c r="F87" s="920" t="s">
        <v>10156</v>
      </c>
      <c r="G87">
        <v>36</v>
      </c>
      <c r="H87">
        <v>720</v>
      </c>
      <c r="I87" t="s">
        <v>10179</v>
      </c>
    </row>
    <row r="88" spans="1:12" ht="14" hidden="1">
      <c r="A88" s="918" t="s">
        <v>10214</v>
      </c>
      <c r="B88" s="918" t="s">
        <v>886</v>
      </c>
      <c r="C88" s="918" t="s">
        <v>992</v>
      </c>
      <c r="D88" t="s">
        <v>331</v>
      </c>
      <c r="E88" s="920" t="s">
        <v>94</v>
      </c>
      <c r="F88" s="920" t="s">
        <v>10156</v>
      </c>
      <c r="G88">
        <v>36</v>
      </c>
      <c r="H88">
        <v>720</v>
      </c>
      <c r="I88" t="s">
        <v>10157</v>
      </c>
    </row>
    <row r="89" spans="1:12" ht="14" hidden="1">
      <c r="A89" s="918" t="s">
        <v>5744</v>
      </c>
      <c r="B89" s="918" t="s">
        <v>1484</v>
      </c>
      <c r="C89" s="918" t="s">
        <v>992</v>
      </c>
      <c r="D89" t="s">
        <v>73</v>
      </c>
      <c r="E89" s="920" t="s">
        <v>94</v>
      </c>
      <c r="F89" s="920" t="s">
        <v>10156</v>
      </c>
      <c r="G89">
        <v>33</v>
      </c>
      <c r="H89">
        <v>594</v>
      </c>
      <c r="I89" t="s">
        <v>10157</v>
      </c>
    </row>
    <row r="90" spans="1:12" ht="14" hidden="1">
      <c r="A90" s="918" t="s">
        <v>10215</v>
      </c>
      <c r="B90" s="918" t="s">
        <v>4071</v>
      </c>
      <c r="C90" s="918" t="s">
        <v>992</v>
      </c>
      <c r="D90" t="s">
        <v>73</v>
      </c>
      <c r="E90" s="920" t="s">
        <v>108</v>
      </c>
      <c r="F90" s="920" t="s">
        <v>10156</v>
      </c>
      <c r="G90">
        <v>36</v>
      </c>
      <c r="H90">
        <v>720</v>
      </c>
      <c r="I90" t="s">
        <v>10179</v>
      </c>
    </row>
    <row r="91" spans="1:12" ht="14.5" hidden="1">
      <c r="A91" s="918" t="s">
        <v>1806</v>
      </c>
      <c r="B91" s="918" t="s">
        <v>1807</v>
      </c>
      <c r="C91" s="918" t="s">
        <v>10196</v>
      </c>
      <c r="D91" t="s">
        <v>331</v>
      </c>
      <c r="E91" s="920" t="s">
        <v>94</v>
      </c>
      <c r="F91" s="920" t="s">
        <v>10156</v>
      </c>
      <c r="G91">
        <v>33</v>
      </c>
      <c r="H91">
        <v>594</v>
      </c>
      <c r="I91" t="s">
        <v>10197</v>
      </c>
    </row>
    <row r="92" spans="1:12" ht="14" hidden="1">
      <c r="A92" s="918" t="s">
        <v>1334</v>
      </c>
      <c r="B92" s="918" t="s">
        <v>10216</v>
      </c>
      <c r="C92" s="918" t="s">
        <v>992</v>
      </c>
      <c r="D92" t="s">
        <v>73</v>
      </c>
      <c r="E92" s="920" t="s">
        <v>94</v>
      </c>
      <c r="F92" s="920" t="s">
        <v>10156</v>
      </c>
      <c r="G92">
        <v>36</v>
      </c>
      <c r="H92">
        <v>720</v>
      </c>
      <c r="I92" t="s">
        <v>10157</v>
      </c>
    </row>
    <row r="93" spans="1:12" ht="14" hidden="1">
      <c r="A93" s="918" t="s">
        <v>2134</v>
      </c>
      <c r="B93" s="918" t="s">
        <v>2135</v>
      </c>
      <c r="C93" s="918" t="s">
        <v>2136</v>
      </c>
      <c r="D93" t="s">
        <v>73</v>
      </c>
      <c r="E93" s="920" t="s">
        <v>85</v>
      </c>
      <c r="F93" s="920" t="s">
        <v>10154</v>
      </c>
      <c r="G93">
        <v>36</v>
      </c>
      <c r="H93">
        <v>792</v>
      </c>
      <c r="I93" t="s">
        <v>10173</v>
      </c>
    </row>
    <row r="94" spans="1:12" ht="14.5" hidden="1">
      <c r="A94" s="918" t="s">
        <v>1681</v>
      </c>
      <c r="B94" s="918" t="s">
        <v>1682</v>
      </c>
      <c r="C94" s="918" t="s">
        <v>992</v>
      </c>
      <c r="D94" t="s">
        <v>73</v>
      </c>
      <c r="E94" s="920" t="s">
        <v>94</v>
      </c>
      <c r="F94" s="920" t="s">
        <v>10156</v>
      </c>
      <c r="G94">
        <v>33</v>
      </c>
      <c r="H94">
        <f>18*33</f>
        <v>594</v>
      </c>
      <c r="I94" t="s">
        <v>10157</v>
      </c>
      <c r="L94" s="919"/>
    </row>
    <row r="95" spans="1:12" ht="14.5" hidden="1">
      <c r="A95" s="918" t="s">
        <v>1164</v>
      </c>
      <c r="B95" s="918" t="s">
        <v>1165</v>
      </c>
      <c r="C95" s="918" t="s">
        <v>1166</v>
      </c>
      <c r="D95" t="s">
        <v>73</v>
      </c>
      <c r="E95" s="920" t="s">
        <v>108</v>
      </c>
      <c r="F95" s="920" t="s">
        <v>10156</v>
      </c>
      <c r="G95">
        <v>36</v>
      </c>
      <c r="H95">
        <f>16*36</f>
        <v>576</v>
      </c>
      <c r="I95" t="s">
        <v>10172</v>
      </c>
      <c r="K95" s="919"/>
    </row>
    <row r="96" spans="1:12" ht="14.5" hidden="1">
      <c r="A96" s="918" t="s">
        <v>1628</v>
      </c>
      <c r="B96" s="918" t="s">
        <v>1629</v>
      </c>
      <c r="C96" s="918" t="s">
        <v>1166</v>
      </c>
      <c r="D96" t="s">
        <v>73</v>
      </c>
      <c r="E96" s="920" t="s">
        <v>108</v>
      </c>
      <c r="F96" s="920" t="s">
        <v>10156</v>
      </c>
      <c r="G96">
        <v>36</v>
      </c>
      <c r="H96">
        <f>16*36</f>
        <v>576</v>
      </c>
      <c r="I96" t="s">
        <v>10172</v>
      </c>
      <c r="K96" s="919"/>
    </row>
    <row r="97" spans="1:10" ht="14.5" hidden="1">
      <c r="A97" s="918" t="s">
        <v>1234</v>
      </c>
      <c r="B97" s="918" t="s">
        <v>1235</v>
      </c>
      <c r="C97" s="918" t="s">
        <v>992</v>
      </c>
      <c r="D97" t="s">
        <v>73</v>
      </c>
      <c r="E97" s="920" t="s">
        <v>85</v>
      </c>
      <c r="F97" s="920" t="s">
        <v>10154</v>
      </c>
      <c r="G97">
        <v>36</v>
      </c>
      <c r="H97">
        <f>26*36</f>
        <v>936</v>
      </c>
      <c r="I97" t="s">
        <v>10184</v>
      </c>
      <c r="J97" s="919"/>
    </row>
    <row r="98" spans="1:10" ht="14.5" hidden="1">
      <c r="A98" s="918" t="s">
        <v>1250</v>
      </c>
      <c r="B98" s="918" t="s">
        <v>1251</v>
      </c>
      <c r="C98" s="918" t="s">
        <v>992</v>
      </c>
      <c r="D98" t="s">
        <v>73</v>
      </c>
      <c r="E98" s="920" t="s">
        <v>85</v>
      </c>
      <c r="F98" s="920" t="s">
        <v>10154</v>
      </c>
      <c r="G98">
        <v>36</v>
      </c>
      <c r="H98">
        <f>26*36</f>
        <v>936</v>
      </c>
      <c r="I98" t="s">
        <v>10184</v>
      </c>
      <c r="J98" s="919"/>
    </row>
    <row r="99" spans="1:10" ht="14.5" hidden="1">
      <c r="A99" s="918" t="s">
        <v>1255</v>
      </c>
      <c r="B99" s="918" t="s">
        <v>72</v>
      </c>
      <c r="C99" s="918" t="s">
        <v>992</v>
      </c>
      <c r="D99" t="s">
        <v>73</v>
      </c>
      <c r="E99" s="920" t="s">
        <v>85</v>
      </c>
      <c r="F99" s="920" t="s">
        <v>10154</v>
      </c>
      <c r="G99">
        <v>36</v>
      </c>
      <c r="H99">
        <f>24*36</f>
        <v>864</v>
      </c>
      <c r="I99" t="s">
        <v>10184</v>
      </c>
      <c r="J99" s="919"/>
    </row>
    <row r="100" spans="1:10" ht="14.5" hidden="1">
      <c r="A100" s="918" t="s">
        <v>1259</v>
      </c>
      <c r="B100" s="918" t="s">
        <v>421</v>
      </c>
      <c r="C100" s="918" t="s">
        <v>992</v>
      </c>
      <c r="D100" t="s">
        <v>73</v>
      </c>
      <c r="E100" s="920" t="s">
        <v>85</v>
      </c>
      <c r="F100" s="920" t="s">
        <v>10154</v>
      </c>
      <c r="G100">
        <v>36</v>
      </c>
      <c r="H100">
        <f>24*36</f>
        <v>864</v>
      </c>
      <c r="I100" t="s">
        <v>10184</v>
      </c>
      <c r="J100" s="919"/>
    </row>
    <row r="101" spans="1:10" ht="14.5" hidden="1">
      <c r="A101" s="918" t="s">
        <v>10217</v>
      </c>
      <c r="B101" s="918" t="s">
        <v>10218</v>
      </c>
      <c r="C101" s="918" t="s">
        <v>967</v>
      </c>
      <c r="D101" t="s">
        <v>73</v>
      </c>
      <c r="E101" s="920" t="s">
        <v>85</v>
      </c>
      <c r="F101" s="920" t="s">
        <v>10154</v>
      </c>
      <c r="G101">
        <v>36</v>
      </c>
      <c r="H101">
        <f t="shared" ref="H101:H102" si="0">24*36</f>
        <v>864</v>
      </c>
      <c r="I101" t="s">
        <v>10219</v>
      </c>
      <c r="J101" s="919"/>
    </row>
    <row r="102" spans="1:10" ht="14.5" hidden="1">
      <c r="A102" s="918" t="s">
        <v>7049</v>
      </c>
      <c r="B102" s="918" t="s">
        <v>7050</v>
      </c>
      <c r="C102" s="918" t="s">
        <v>967</v>
      </c>
      <c r="D102" t="s">
        <v>73</v>
      </c>
      <c r="E102" s="920" t="s">
        <v>85</v>
      </c>
      <c r="F102" s="920" t="s">
        <v>10154</v>
      </c>
      <c r="G102">
        <v>36</v>
      </c>
      <c r="H102">
        <f t="shared" si="0"/>
        <v>864</v>
      </c>
      <c r="I102" t="s">
        <v>10219</v>
      </c>
      <c r="J102" s="919"/>
    </row>
    <row r="103" spans="1:10" ht="14.5" hidden="1">
      <c r="A103" s="918" t="s">
        <v>791</v>
      </c>
      <c r="B103" s="918" t="s">
        <v>571</v>
      </c>
      <c r="C103" s="918" t="s">
        <v>992</v>
      </c>
      <c r="D103" t="s">
        <v>73</v>
      </c>
      <c r="E103" s="920" t="s">
        <v>85</v>
      </c>
      <c r="F103" s="920" t="s">
        <v>10154</v>
      </c>
      <c r="G103">
        <v>36</v>
      </c>
      <c r="H103">
        <f>26*36</f>
        <v>936</v>
      </c>
      <c r="I103" t="s">
        <v>10220</v>
      </c>
      <c r="J103" s="919"/>
    </row>
    <row r="104" spans="1:10" ht="14.5" hidden="1">
      <c r="A104" s="918" t="s">
        <v>1247</v>
      </c>
      <c r="B104" s="918" t="s">
        <v>196</v>
      </c>
      <c r="C104" s="918" t="s">
        <v>992</v>
      </c>
      <c r="D104" t="s">
        <v>73</v>
      </c>
      <c r="E104" s="920" t="s">
        <v>85</v>
      </c>
      <c r="F104" s="920" t="s">
        <v>10154</v>
      </c>
      <c r="G104">
        <v>36</v>
      </c>
      <c r="H104">
        <f>26*36</f>
        <v>936</v>
      </c>
      <c r="I104" t="s">
        <v>10220</v>
      </c>
      <c r="J104" s="919"/>
    </row>
    <row r="105" spans="1:10" ht="14.5" hidden="1">
      <c r="A105" s="918" t="s">
        <v>1109</v>
      </c>
      <c r="B105" s="918" t="s">
        <v>454</v>
      </c>
      <c r="C105" s="918" t="s">
        <v>992</v>
      </c>
      <c r="D105" t="s">
        <v>73</v>
      </c>
      <c r="E105" s="920" t="s">
        <v>108</v>
      </c>
      <c r="F105" s="920" t="s">
        <v>10154</v>
      </c>
      <c r="G105">
        <v>36</v>
      </c>
      <c r="H105">
        <f>24*36</f>
        <v>864</v>
      </c>
      <c r="I105" t="s">
        <v>10163</v>
      </c>
      <c r="J105" s="919"/>
    </row>
    <row r="106" spans="1:10" ht="14.5" hidden="1">
      <c r="A106" s="918" t="s">
        <v>4515</v>
      </c>
      <c r="B106" s="918" t="s">
        <v>4516</v>
      </c>
      <c r="C106" s="918" t="s">
        <v>992</v>
      </c>
      <c r="D106" t="s">
        <v>73</v>
      </c>
      <c r="E106" s="920" t="s">
        <v>94</v>
      </c>
      <c r="F106" s="920" t="s">
        <v>10156</v>
      </c>
      <c r="G106">
        <v>36</v>
      </c>
      <c r="H106">
        <f>20*36</f>
        <v>720</v>
      </c>
      <c r="I106" t="s">
        <v>10221</v>
      </c>
      <c r="J106" s="919"/>
    </row>
    <row r="107" spans="1:10" ht="14.5" hidden="1">
      <c r="A107" s="918" t="s">
        <v>4482</v>
      </c>
      <c r="B107" s="918" t="s">
        <v>4483</v>
      </c>
      <c r="C107" s="918" t="s">
        <v>992</v>
      </c>
      <c r="D107" t="s">
        <v>73</v>
      </c>
      <c r="E107" s="920" t="s">
        <v>94</v>
      </c>
      <c r="F107" s="920" t="s">
        <v>10156</v>
      </c>
      <c r="G107">
        <v>36</v>
      </c>
      <c r="H107">
        <f>20*36</f>
        <v>720</v>
      </c>
      <c r="J107" s="919"/>
    </row>
    <row r="108" spans="1:10" ht="14.5" hidden="1">
      <c r="A108" s="918" t="s">
        <v>420</v>
      </c>
      <c r="B108" s="918" t="s">
        <v>421</v>
      </c>
      <c r="C108" s="918" t="s">
        <v>992</v>
      </c>
      <c r="D108" t="s">
        <v>73</v>
      </c>
      <c r="E108" s="920" t="s">
        <v>85</v>
      </c>
      <c r="F108" s="920" t="s">
        <v>10154</v>
      </c>
      <c r="G108">
        <v>36</v>
      </c>
      <c r="H108">
        <f>24*36</f>
        <v>864</v>
      </c>
      <c r="J108" s="919"/>
    </row>
    <row r="109" spans="1:10" ht="14.5" hidden="1">
      <c r="A109" s="918" t="s">
        <v>1221</v>
      </c>
      <c r="B109" s="918" t="s">
        <v>1222</v>
      </c>
      <c r="C109" s="918" t="s">
        <v>1187</v>
      </c>
      <c r="D109" t="s">
        <v>73</v>
      </c>
      <c r="E109" s="920" t="s">
        <v>108</v>
      </c>
      <c r="F109" s="920" t="s">
        <v>10156</v>
      </c>
      <c r="G109">
        <v>33</v>
      </c>
      <c r="H109">
        <f>20*33</f>
        <v>660</v>
      </c>
      <c r="I109" t="s">
        <v>10171</v>
      </c>
      <c r="J109" s="919"/>
    </row>
    <row r="110" spans="1:10" ht="14.5" hidden="1">
      <c r="A110" s="918" t="s">
        <v>5022</v>
      </c>
      <c r="B110" s="918" t="s">
        <v>886</v>
      </c>
      <c r="C110" s="918" t="s">
        <v>992</v>
      </c>
      <c r="D110" t="s">
        <v>73</v>
      </c>
      <c r="E110" s="920" t="s">
        <v>94</v>
      </c>
      <c r="F110" s="920" t="s">
        <v>10156</v>
      </c>
      <c r="G110">
        <v>36</v>
      </c>
      <c r="H110">
        <f>20*36</f>
        <v>720</v>
      </c>
      <c r="I110" t="s">
        <v>10157</v>
      </c>
      <c r="J110" s="919"/>
    </row>
    <row r="111" spans="1:10" ht="14.5">
      <c r="A111" s="918" t="s">
        <v>6652</v>
      </c>
      <c r="B111" s="918" t="s">
        <v>6653</v>
      </c>
      <c r="C111" s="918" t="s">
        <v>967</v>
      </c>
      <c r="D111" t="s">
        <v>73</v>
      </c>
      <c r="E111" s="920" t="s">
        <v>85</v>
      </c>
      <c r="F111" s="920" t="s">
        <v>10154</v>
      </c>
      <c r="G111">
        <v>36</v>
      </c>
      <c r="H111">
        <v>936</v>
      </c>
      <c r="I111" t="s">
        <v>10222</v>
      </c>
      <c r="J111" s="919"/>
    </row>
    <row r="112" spans="1:10" ht="14.5">
      <c r="A112" s="918" t="s">
        <v>6695</v>
      </c>
      <c r="B112" s="918" t="s">
        <v>6696</v>
      </c>
      <c r="C112" s="918" t="s">
        <v>967</v>
      </c>
      <c r="D112" t="s">
        <v>73</v>
      </c>
      <c r="E112" s="920" t="s">
        <v>85</v>
      </c>
      <c r="F112" s="920" t="s">
        <v>10154</v>
      </c>
      <c r="G112">
        <v>36</v>
      </c>
      <c r="H112">
        <v>936</v>
      </c>
      <c r="I112" t="s">
        <v>10222</v>
      </c>
      <c r="J112" s="919"/>
    </row>
    <row r="113" spans="1:9" ht="14">
      <c r="A113" s="918" t="s">
        <v>5375</v>
      </c>
      <c r="B113" s="918" t="s">
        <v>5376</v>
      </c>
      <c r="C113" s="918" t="s">
        <v>967</v>
      </c>
      <c r="D113" t="s">
        <v>73</v>
      </c>
      <c r="E113" s="920" t="s">
        <v>85</v>
      </c>
      <c r="F113" s="920" t="s">
        <v>10154</v>
      </c>
      <c r="G113">
        <v>36</v>
      </c>
      <c r="H113">
        <v>936</v>
      </c>
      <c r="I113" t="s">
        <v>10222</v>
      </c>
    </row>
    <row r="114" spans="1:9" ht="14">
      <c r="A114" s="918" t="s">
        <v>5395</v>
      </c>
      <c r="B114" s="918" t="s">
        <v>5396</v>
      </c>
      <c r="C114" s="918" t="s">
        <v>967</v>
      </c>
      <c r="D114" t="s">
        <v>73</v>
      </c>
      <c r="E114" s="920" t="s">
        <v>85</v>
      </c>
      <c r="F114" s="920" t="s">
        <v>10154</v>
      </c>
      <c r="G114">
        <v>36</v>
      </c>
      <c r="H114">
        <v>936</v>
      </c>
      <c r="I114" t="s">
        <v>10222</v>
      </c>
    </row>
    <row r="115" spans="1:9" ht="14" hidden="1">
      <c r="A115" s="918" t="s">
        <v>10223</v>
      </c>
      <c r="B115" s="918" t="s">
        <v>330</v>
      </c>
      <c r="C115" s="918" t="s">
        <v>992</v>
      </c>
      <c r="D115" t="s">
        <v>331</v>
      </c>
      <c r="E115" s="920" t="s">
        <v>108</v>
      </c>
      <c r="F115" s="920" t="s">
        <v>10156</v>
      </c>
      <c r="G115">
        <v>36</v>
      </c>
      <c r="H115">
        <v>720</v>
      </c>
      <c r="I115" t="s">
        <v>10224</v>
      </c>
    </row>
    <row r="116" spans="1:9" ht="14" hidden="1">
      <c r="A116" s="918" t="s">
        <v>6881</v>
      </c>
      <c r="B116" s="918" t="s">
        <v>103</v>
      </c>
      <c r="C116" s="918" t="s">
        <v>992</v>
      </c>
      <c r="D116" t="s">
        <v>331</v>
      </c>
      <c r="E116" s="920" t="s">
        <v>108</v>
      </c>
      <c r="F116" s="920" t="s">
        <v>10156</v>
      </c>
      <c r="G116">
        <v>36</v>
      </c>
      <c r="H116">
        <v>720</v>
      </c>
      <c r="I116" t="s">
        <v>10224</v>
      </c>
    </row>
    <row r="117" spans="1:9" ht="14" hidden="1">
      <c r="A117" s="920" t="s">
        <v>10225</v>
      </c>
      <c r="B117" s="918" t="s">
        <v>10226</v>
      </c>
      <c r="C117" s="918" t="s">
        <v>992</v>
      </c>
      <c r="D117" t="s">
        <v>73</v>
      </c>
      <c r="E117" s="920" t="s">
        <v>94</v>
      </c>
      <c r="F117" s="920" t="s">
        <v>10156</v>
      </c>
      <c r="G117">
        <v>33</v>
      </c>
      <c r="H117">
        <v>594</v>
      </c>
      <c r="I117" t="s">
        <v>10227</v>
      </c>
    </row>
    <row r="118" spans="1:9" ht="14" hidden="1">
      <c r="A118" s="920" t="s">
        <v>10228</v>
      </c>
      <c r="B118" s="918" t="s">
        <v>10229</v>
      </c>
      <c r="C118" s="918" t="s">
        <v>992</v>
      </c>
      <c r="D118" t="s">
        <v>73</v>
      </c>
      <c r="E118" s="920" t="s">
        <v>94</v>
      </c>
      <c r="F118" s="920" t="s">
        <v>10156</v>
      </c>
      <c r="G118">
        <v>33</v>
      </c>
      <c r="H118">
        <v>594</v>
      </c>
      <c r="I118" t="s">
        <v>10227</v>
      </c>
    </row>
    <row r="119" spans="1:9" ht="14" hidden="1">
      <c r="A119" s="918" t="s">
        <v>6157</v>
      </c>
      <c r="B119" s="918" t="s">
        <v>1570</v>
      </c>
      <c r="C119" s="918" t="s">
        <v>992</v>
      </c>
      <c r="D119" t="s">
        <v>73</v>
      </c>
      <c r="E119" s="920" t="s">
        <v>108</v>
      </c>
      <c r="F119" s="920" t="s">
        <v>10156</v>
      </c>
      <c r="G119">
        <v>36</v>
      </c>
      <c r="H119">
        <v>720</v>
      </c>
      <c r="I119" t="s">
        <v>10230</v>
      </c>
    </row>
    <row r="120" spans="1:9" ht="14" hidden="1">
      <c r="A120" s="918" t="s">
        <v>5578</v>
      </c>
      <c r="B120" s="918" t="s">
        <v>1570</v>
      </c>
      <c r="C120" s="918" t="s">
        <v>992</v>
      </c>
      <c r="D120" t="s">
        <v>331</v>
      </c>
      <c r="E120" s="920" t="s">
        <v>108</v>
      </c>
      <c r="F120" s="920" t="s">
        <v>10156</v>
      </c>
      <c r="G120">
        <v>36</v>
      </c>
      <c r="H120">
        <v>720</v>
      </c>
      <c r="I120" t="s">
        <v>10230</v>
      </c>
    </row>
    <row r="121" spans="1:9" ht="14" hidden="1">
      <c r="A121" s="918" t="s">
        <v>5538</v>
      </c>
      <c r="B121" s="918" t="s">
        <v>5539</v>
      </c>
      <c r="C121" s="918" t="s">
        <v>992</v>
      </c>
      <c r="D121" t="s">
        <v>73</v>
      </c>
      <c r="E121" s="920" t="s">
        <v>108</v>
      </c>
      <c r="F121" s="920" t="s">
        <v>10156</v>
      </c>
      <c r="G121">
        <v>33</v>
      </c>
      <c r="H121">
        <v>660</v>
      </c>
    </row>
    <row r="122" spans="1:9" ht="14" hidden="1">
      <c r="A122" s="920" t="s">
        <v>5868</v>
      </c>
      <c r="B122" s="918" t="s">
        <v>5869</v>
      </c>
      <c r="C122" s="918" t="s">
        <v>992</v>
      </c>
      <c r="D122" t="s">
        <v>73</v>
      </c>
      <c r="E122" s="920" t="s">
        <v>108</v>
      </c>
      <c r="F122" s="920" t="s">
        <v>10156</v>
      </c>
      <c r="G122">
        <v>33</v>
      </c>
      <c r="H122">
        <v>594</v>
      </c>
    </row>
    <row r="123" spans="1:9" ht="14" hidden="1">
      <c r="A123" s="920" t="s">
        <v>10231</v>
      </c>
      <c r="B123" s="918" t="s">
        <v>134</v>
      </c>
      <c r="C123" s="918" t="s">
        <v>992</v>
      </c>
      <c r="D123" t="s">
        <v>73</v>
      </c>
      <c r="E123" s="920" t="s">
        <v>108</v>
      </c>
      <c r="F123" s="920" t="s">
        <v>10156</v>
      </c>
      <c r="G123">
        <v>33</v>
      </c>
      <c r="H123">
        <v>594</v>
      </c>
    </row>
    <row r="124" spans="1:9" ht="14" hidden="1">
      <c r="A124" s="920" t="s">
        <v>5910</v>
      </c>
      <c r="B124" s="918" t="s">
        <v>1807</v>
      </c>
      <c r="C124" s="918" t="s">
        <v>992</v>
      </c>
      <c r="D124" t="s">
        <v>73</v>
      </c>
      <c r="E124" s="920" t="s">
        <v>128</v>
      </c>
      <c r="F124" s="920" t="s">
        <v>10156</v>
      </c>
      <c r="G124">
        <v>33</v>
      </c>
      <c r="H124">
        <v>594</v>
      </c>
    </row>
    <row r="125" spans="1:9" ht="14" hidden="1">
      <c r="A125" s="920" t="s">
        <v>5332</v>
      </c>
      <c r="B125" s="918" t="s">
        <v>5333</v>
      </c>
      <c r="C125" s="918" t="s">
        <v>992</v>
      </c>
      <c r="D125" t="s">
        <v>73</v>
      </c>
      <c r="E125" s="920" t="s">
        <v>94</v>
      </c>
      <c r="F125" s="920" t="s">
        <v>10156</v>
      </c>
      <c r="G125">
        <v>36</v>
      </c>
      <c r="H125">
        <v>720</v>
      </c>
    </row>
    <row r="126" spans="1:9" ht="14" hidden="1">
      <c r="A126" s="920" t="s">
        <v>5550</v>
      </c>
      <c r="B126" s="918" t="s">
        <v>5551</v>
      </c>
      <c r="C126" s="918" t="s">
        <v>992</v>
      </c>
      <c r="D126" t="s">
        <v>73</v>
      </c>
      <c r="E126" s="920" t="s">
        <v>94</v>
      </c>
      <c r="F126" s="920" t="s">
        <v>10156</v>
      </c>
      <c r="G126">
        <v>36</v>
      </c>
      <c r="H126">
        <v>720</v>
      </c>
    </row>
    <row r="127" spans="1:9" ht="14" hidden="1">
      <c r="A127" s="918" t="s">
        <v>5491</v>
      </c>
      <c r="B127" s="918" t="s">
        <v>5341</v>
      </c>
      <c r="C127" s="918" t="s">
        <v>992</v>
      </c>
      <c r="D127" t="s">
        <v>331</v>
      </c>
      <c r="E127" s="920" t="s">
        <v>108</v>
      </c>
      <c r="F127" s="920" t="s">
        <v>10156</v>
      </c>
      <c r="G127">
        <v>36</v>
      </c>
      <c r="H127">
        <v>720</v>
      </c>
      <c r="I127" t="s">
        <v>10230</v>
      </c>
    </row>
    <row r="128" spans="1:9" ht="14" hidden="1">
      <c r="A128" s="918" t="s">
        <v>10231</v>
      </c>
      <c r="B128" s="918" t="s">
        <v>10232</v>
      </c>
      <c r="C128" s="918"/>
      <c r="E128" s="920"/>
      <c r="F128" s="920"/>
      <c r="G128">
        <v>37</v>
      </c>
      <c r="H128">
        <v>962</v>
      </c>
    </row>
    <row r="129" spans="1:9" ht="14" hidden="1">
      <c r="A129" s="918" t="s">
        <v>5846</v>
      </c>
      <c r="B129" s="918" t="s">
        <v>5847</v>
      </c>
      <c r="C129" s="918" t="s">
        <v>967</v>
      </c>
      <c r="D129" t="s">
        <v>73</v>
      </c>
      <c r="E129" s="920" t="s">
        <v>85</v>
      </c>
      <c r="F129" s="920" t="s">
        <v>10154</v>
      </c>
      <c r="G129">
        <v>36</v>
      </c>
      <c r="H129">
        <v>936</v>
      </c>
      <c r="I129" t="s">
        <v>10169</v>
      </c>
    </row>
    <row r="130" spans="1:9" ht="14" hidden="1">
      <c r="A130" s="920" t="s">
        <v>10233</v>
      </c>
      <c r="B130" s="918" t="s">
        <v>10234</v>
      </c>
      <c r="C130" s="918" t="s">
        <v>967</v>
      </c>
      <c r="D130" t="s">
        <v>73</v>
      </c>
      <c r="E130" s="920" t="s">
        <v>108</v>
      </c>
      <c r="F130" s="920" t="s">
        <v>10154</v>
      </c>
      <c r="G130">
        <v>36</v>
      </c>
      <c r="H130">
        <v>936</v>
      </c>
    </row>
    <row r="131" spans="1:9" ht="14" hidden="1">
      <c r="A131" s="920" t="s">
        <v>5939</v>
      </c>
      <c r="B131" s="918" t="s">
        <v>5940</v>
      </c>
      <c r="C131" s="918" t="s">
        <v>967</v>
      </c>
      <c r="D131" t="s">
        <v>73</v>
      </c>
      <c r="E131" s="920" t="s">
        <v>108</v>
      </c>
      <c r="F131" s="920" t="s">
        <v>10154</v>
      </c>
      <c r="G131">
        <v>36</v>
      </c>
      <c r="H131">
        <v>936</v>
      </c>
    </row>
    <row r="132" spans="1:9" ht="14" hidden="1">
      <c r="A132" s="920" t="s">
        <v>5730</v>
      </c>
      <c r="B132" s="918" t="s">
        <v>5731</v>
      </c>
      <c r="C132" s="918" t="s">
        <v>967</v>
      </c>
      <c r="D132" t="s">
        <v>73</v>
      </c>
      <c r="E132" s="920" t="s">
        <v>108</v>
      </c>
      <c r="F132" s="920" t="s">
        <v>10154</v>
      </c>
      <c r="G132">
        <v>36</v>
      </c>
      <c r="H132">
        <v>936</v>
      </c>
    </row>
    <row r="133" spans="1:9" ht="14" hidden="1">
      <c r="A133" s="920" t="s">
        <v>6253</v>
      </c>
      <c r="B133" s="918" t="s">
        <v>6254</v>
      </c>
      <c r="C133" s="918" t="s">
        <v>967</v>
      </c>
      <c r="D133" t="s">
        <v>73</v>
      </c>
      <c r="E133" s="920" t="s">
        <v>108</v>
      </c>
      <c r="F133" s="920" t="s">
        <v>10154</v>
      </c>
      <c r="G133">
        <v>36</v>
      </c>
      <c r="H133">
        <v>936</v>
      </c>
    </row>
    <row r="134" spans="1:9" ht="14.5" hidden="1">
      <c r="A134" s="920" t="s">
        <v>6871</v>
      </c>
      <c r="B134" s="918" t="s">
        <v>1300</v>
      </c>
      <c r="C134" s="918" t="s">
        <v>10235</v>
      </c>
      <c r="D134" t="s">
        <v>73</v>
      </c>
      <c r="E134" s="920" t="s">
        <v>108</v>
      </c>
      <c r="F134" s="920" t="s">
        <v>10156</v>
      </c>
      <c r="G134">
        <v>33</v>
      </c>
      <c r="H134">
        <v>594</v>
      </c>
    </row>
    <row r="135" spans="1:9" ht="14" hidden="1">
      <c r="A135" s="920" t="s">
        <v>5340</v>
      </c>
      <c r="B135" s="918" t="s">
        <v>5341</v>
      </c>
      <c r="C135" s="918" t="s">
        <v>992</v>
      </c>
      <c r="D135" t="s">
        <v>73</v>
      </c>
      <c r="E135" s="920" t="s">
        <v>108</v>
      </c>
      <c r="F135" s="920" t="s">
        <v>10156</v>
      </c>
      <c r="G135">
        <v>36</v>
      </c>
      <c r="H135">
        <v>720</v>
      </c>
      <c r="I135" t="s">
        <v>10230</v>
      </c>
    </row>
    <row r="136" spans="1:9" ht="14" hidden="1">
      <c r="A136" s="918" t="s">
        <v>1483</v>
      </c>
      <c r="B136" s="918" t="s">
        <v>1484</v>
      </c>
      <c r="C136" s="918" t="s">
        <v>992</v>
      </c>
      <c r="D136" t="s">
        <v>73</v>
      </c>
      <c r="E136" s="920" t="s">
        <v>128</v>
      </c>
      <c r="F136" s="920" t="s">
        <v>10156</v>
      </c>
      <c r="G136">
        <v>33</v>
      </c>
      <c r="H136">
        <v>594</v>
      </c>
      <c r="I136" t="s">
        <v>10157</v>
      </c>
    </row>
    <row r="137" spans="1:9" ht="14" hidden="1">
      <c r="A137" s="920" t="s">
        <v>6181</v>
      </c>
      <c r="B137" s="918" t="s">
        <v>6182</v>
      </c>
      <c r="C137" s="918" t="s">
        <v>967</v>
      </c>
      <c r="D137" t="s">
        <v>73</v>
      </c>
      <c r="E137" s="920" t="s">
        <v>85</v>
      </c>
      <c r="F137" s="920" t="s">
        <v>10154</v>
      </c>
      <c r="G137">
        <v>36</v>
      </c>
      <c r="H137">
        <v>936</v>
      </c>
      <c r="I137" t="s">
        <v>10169</v>
      </c>
    </row>
    <row r="138" spans="1:9" ht="14.5" hidden="1">
      <c r="A138" s="920" t="s">
        <v>6466</v>
      </c>
      <c r="B138" s="918" t="s">
        <v>103</v>
      </c>
      <c r="C138" s="918" t="s">
        <v>10196</v>
      </c>
      <c r="D138" t="s">
        <v>331</v>
      </c>
      <c r="E138" s="920" t="s">
        <v>128</v>
      </c>
      <c r="F138" s="920" t="s">
        <v>10156</v>
      </c>
      <c r="G138">
        <v>36</v>
      </c>
      <c r="H138">
        <v>720</v>
      </c>
      <c r="I138" t="s">
        <v>10236</v>
      </c>
    </row>
    <row r="139" spans="1:9" ht="14.5" hidden="1">
      <c r="A139" s="935" t="s">
        <v>6207</v>
      </c>
      <c r="B139" s="918" t="s">
        <v>330</v>
      </c>
      <c r="C139" s="918" t="s">
        <v>10196</v>
      </c>
      <c r="D139" t="s">
        <v>331</v>
      </c>
      <c r="E139" s="920" t="s">
        <v>128</v>
      </c>
      <c r="F139" s="920" t="s">
        <v>10156</v>
      </c>
      <c r="G139">
        <v>36</v>
      </c>
      <c r="H139">
        <v>720</v>
      </c>
      <c r="I139" t="s">
        <v>10236</v>
      </c>
    </row>
    <row r="140" spans="1:9" ht="14.5" hidden="1">
      <c r="A140" s="935" t="s">
        <v>6444</v>
      </c>
      <c r="B140" s="918" t="s">
        <v>4593</v>
      </c>
      <c r="C140" s="918" t="s">
        <v>10196</v>
      </c>
      <c r="D140" t="s">
        <v>331</v>
      </c>
      <c r="E140" s="920" t="s">
        <v>128</v>
      </c>
      <c r="F140" s="920" t="s">
        <v>10156</v>
      </c>
      <c r="G140">
        <v>36</v>
      </c>
      <c r="H140">
        <v>720</v>
      </c>
      <c r="I140" t="s">
        <v>10236</v>
      </c>
    </row>
    <row r="141" spans="1:9" ht="14" hidden="1">
      <c r="A141" s="935" t="s">
        <v>6766</v>
      </c>
      <c r="B141" s="918" t="s">
        <v>6767</v>
      </c>
      <c r="C141" s="918" t="s">
        <v>967</v>
      </c>
      <c r="D141" t="s">
        <v>73</v>
      </c>
      <c r="E141" s="920" t="s">
        <v>85</v>
      </c>
      <c r="F141" s="920" t="s">
        <v>10154</v>
      </c>
      <c r="G141">
        <v>36</v>
      </c>
      <c r="H141">
        <v>936</v>
      </c>
      <c r="I141" t="s">
        <v>10237</v>
      </c>
    </row>
    <row r="142" spans="1:9" ht="14" hidden="1">
      <c r="A142" s="935" t="s">
        <v>6788</v>
      </c>
      <c r="B142" s="918" t="s">
        <v>6789</v>
      </c>
      <c r="C142" s="918" t="s">
        <v>967</v>
      </c>
      <c r="D142" t="s">
        <v>73</v>
      </c>
      <c r="E142" s="920" t="s">
        <v>85</v>
      </c>
      <c r="F142" s="920" t="s">
        <v>10154</v>
      </c>
      <c r="G142">
        <v>36</v>
      </c>
      <c r="H142">
        <v>936</v>
      </c>
      <c r="I142" t="s">
        <v>10237</v>
      </c>
    </row>
    <row r="143" spans="1:9" ht="14.5" hidden="1">
      <c r="A143" s="935" t="s">
        <v>6969</v>
      </c>
      <c r="B143" s="918" t="s">
        <v>1570</v>
      </c>
      <c r="C143" s="918" t="s">
        <v>10196</v>
      </c>
      <c r="D143" t="s">
        <v>331</v>
      </c>
      <c r="E143" s="920" t="s">
        <v>108</v>
      </c>
      <c r="F143" s="920" t="s">
        <v>10156</v>
      </c>
      <c r="G143">
        <v>36</v>
      </c>
      <c r="H143">
        <v>720</v>
      </c>
      <c r="I143" t="s">
        <v>10238</v>
      </c>
    </row>
    <row r="144" spans="1:9" ht="14.5" hidden="1">
      <c r="A144" s="935" t="s">
        <v>6977</v>
      </c>
      <c r="B144" s="918" t="s">
        <v>5341</v>
      </c>
      <c r="C144" s="918" t="s">
        <v>10196</v>
      </c>
      <c r="D144" t="s">
        <v>331</v>
      </c>
      <c r="E144" s="920" t="s">
        <v>108</v>
      </c>
      <c r="F144" s="920" t="s">
        <v>10156</v>
      </c>
      <c r="G144">
        <v>36</v>
      </c>
      <c r="H144">
        <v>720</v>
      </c>
      <c r="I144" t="s">
        <v>10238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97"/>
  <sheetViews>
    <sheetView zoomScale="55" zoomScaleNormal="55" workbookViewId="0">
      <selection activeCell="F13" sqref="F13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7064</v>
      </c>
      <c r="I1" t="s">
        <v>29</v>
      </c>
      <c r="J1" t="s">
        <v>10239</v>
      </c>
      <c r="K1" t="s">
        <v>37</v>
      </c>
      <c r="L1" t="s">
        <v>38</v>
      </c>
      <c r="M1" t="s">
        <v>39</v>
      </c>
      <c r="N1" t="s">
        <v>2507</v>
      </c>
      <c r="O1" t="s">
        <v>50</v>
      </c>
      <c r="P1" t="s">
        <v>52</v>
      </c>
    </row>
    <row r="2" spans="1:16">
      <c r="A2" t="s">
        <v>4980</v>
      </c>
      <c r="B2" t="s">
        <v>64</v>
      </c>
      <c r="C2" t="s">
        <v>310</v>
      </c>
      <c r="D2" t="s">
        <v>4526</v>
      </c>
      <c r="E2" t="s">
        <v>4587</v>
      </c>
      <c r="F2" t="s">
        <v>330</v>
      </c>
      <c r="G2">
        <v>720</v>
      </c>
      <c r="H2" t="s">
        <v>75</v>
      </c>
      <c r="I2" t="s">
        <v>4981</v>
      </c>
      <c r="J2" s="1442">
        <v>46189</v>
      </c>
      <c r="K2" s="1442">
        <v>46248</v>
      </c>
      <c r="L2" s="1442">
        <v>46254.75</v>
      </c>
      <c r="M2" s="1442">
        <v>46254</v>
      </c>
      <c r="N2" t="s">
        <v>10240</v>
      </c>
      <c r="O2" s="1442" t="s">
        <v>2521</v>
      </c>
      <c r="P2" s="1442">
        <v>46264</v>
      </c>
    </row>
    <row r="3" spans="1:16">
      <c r="A3" t="s">
        <v>5896</v>
      </c>
      <c r="B3" t="s">
        <v>144</v>
      </c>
      <c r="C3" t="s">
        <v>145</v>
      </c>
      <c r="D3" t="s">
        <v>4526</v>
      </c>
      <c r="E3" t="s">
        <v>4592</v>
      </c>
      <c r="F3" t="s">
        <v>4593</v>
      </c>
      <c r="G3">
        <v>2160</v>
      </c>
      <c r="H3" t="s">
        <v>951</v>
      </c>
      <c r="I3" t="s">
        <v>5897</v>
      </c>
      <c r="J3" s="1442">
        <v>46237</v>
      </c>
      <c r="K3" s="1442">
        <v>46274</v>
      </c>
      <c r="L3" s="1442">
        <v>46276</v>
      </c>
      <c r="M3" s="1442"/>
      <c r="N3" t="s">
        <v>10240</v>
      </c>
      <c r="O3" s="1442" t="s">
        <v>2521</v>
      </c>
      <c r="P3" s="1442">
        <v>46276</v>
      </c>
    </row>
    <row r="4" spans="1:16">
      <c r="A4" t="s">
        <v>5898</v>
      </c>
      <c r="B4" t="s">
        <v>144</v>
      </c>
      <c r="C4" t="s">
        <v>145</v>
      </c>
      <c r="D4" t="s">
        <v>4526</v>
      </c>
      <c r="E4" t="s">
        <v>4592</v>
      </c>
      <c r="F4" t="s">
        <v>4593</v>
      </c>
      <c r="G4">
        <v>1440</v>
      </c>
      <c r="H4" t="s">
        <v>951</v>
      </c>
      <c r="I4" t="s">
        <v>5899</v>
      </c>
      <c r="J4" s="1442">
        <v>46237</v>
      </c>
      <c r="K4" s="1442">
        <v>46274</v>
      </c>
      <c r="L4" s="1442">
        <v>46305</v>
      </c>
      <c r="M4" s="1442"/>
      <c r="N4" t="s">
        <v>10240</v>
      </c>
      <c r="O4" s="1442" t="s">
        <v>2521</v>
      </c>
      <c r="P4" s="1442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1442">
        <v>46020</v>
      </c>
      <c r="K5" s="1442">
        <v>46088</v>
      </c>
      <c r="L5" s="1442">
        <v>46106</v>
      </c>
      <c r="M5" s="1442">
        <v>46106</v>
      </c>
      <c r="N5" t="s">
        <v>84</v>
      </c>
      <c r="O5" s="1442">
        <v>46026</v>
      </c>
      <c r="P5" s="1442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1442">
        <v>46017</v>
      </c>
      <c r="K6" s="1442">
        <v>46077</v>
      </c>
      <c r="L6" s="1442">
        <v>46090</v>
      </c>
      <c r="M6" s="1442">
        <v>46090</v>
      </c>
      <c r="N6" t="s">
        <v>84</v>
      </c>
      <c r="O6" s="1442">
        <v>46026</v>
      </c>
      <c r="P6" s="1442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1442">
        <v>46017</v>
      </c>
      <c r="K7" s="1442">
        <v>46077</v>
      </c>
      <c r="L7" s="1442">
        <v>46090</v>
      </c>
      <c r="M7" s="1442">
        <v>46090</v>
      </c>
      <c r="N7" t="s">
        <v>84</v>
      </c>
      <c r="O7" s="1442">
        <v>46026</v>
      </c>
      <c r="P7" s="1442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1442">
        <v>46009</v>
      </c>
      <c r="K8" s="1442">
        <v>46076</v>
      </c>
      <c r="L8" s="1442">
        <v>46098</v>
      </c>
      <c r="M8" s="1442">
        <v>46099</v>
      </c>
      <c r="N8" t="s">
        <v>84</v>
      </c>
      <c r="O8" s="1442">
        <v>46112</v>
      </c>
      <c r="P8" s="1442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1442">
        <v>46009</v>
      </c>
      <c r="K9" s="1442">
        <v>46076</v>
      </c>
      <c r="L9" s="1442">
        <v>46098</v>
      </c>
      <c r="M9" s="1442">
        <v>46099</v>
      </c>
      <c r="N9" t="s">
        <v>84</v>
      </c>
      <c r="O9" s="1442">
        <v>46112</v>
      </c>
      <c r="P9" s="1442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1442">
        <v>46009</v>
      </c>
      <c r="K10" s="1442">
        <v>46076</v>
      </c>
      <c r="L10" s="1442">
        <v>46098</v>
      </c>
      <c r="M10" s="1442">
        <v>46099</v>
      </c>
      <c r="N10" t="s">
        <v>84</v>
      </c>
      <c r="O10" s="1442">
        <v>46112</v>
      </c>
      <c r="P10" s="1442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1442">
        <v>46027</v>
      </c>
      <c r="K11" s="1442">
        <v>46081</v>
      </c>
      <c r="L11" s="1442">
        <v>46094</v>
      </c>
      <c r="M11" s="1442">
        <v>46094</v>
      </c>
      <c r="N11" t="s">
        <v>84</v>
      </c>
      <c r="O11" s="1442">
        <v>46097</v>
      </c>
      <c r="P11" s="1442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1442">
        <v>46020</v>
      </c>
      <c r="K12" s="1442">
        <v>46072</v>
      </c>
      <c r="L12" s="1442">
        <v>46092</v>
      </c>
      <c r="M12" s="1442">
        <v>46094</v>
      </c>
      <c r="N12" t="s">
        <v>84</v>
      </c>
      <c r="O12" s="1442">
        <v>46104</v>
      </c>
      <c r="P12" s="1442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1442">
        <v>46021</v>
      </c>
      <c r="K13" s="1442">
        <v>46065</v>
      </c>
      <c r="L13" s="1442">
        <v>46088</v>
      </c>
      <c r="M13" s="1442">
        <v>46089</v>
      </c>
      <c r="N13" t="s">
        <v>84</v>
      </c>
      <c r="O13" s="1442">
        <v>46100</v>
      </c>
      <c r="P13" s="1442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1442">
        <v>46047</v>
      </c>
      <c r="K14" s="1442">
        <v>46093</v>
      </c>
      <c r="L14" s="1442">
        <v>46107</v>
      </c>
      <c r="M14" s="1442">
        <v>46107</v>
      </c>
      <c r="N14" t="s">
        <v>84</v>
      </c>
      <c r="O14" s="1442">
        <v>46104</v>
      </c>
      <c r="P14" s="1442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1442">
        <v>46042</v>
      </c>
      <c r="K15" s="1442">
        <v>46086</v>
      </c>
      <c r="L15" s="1442">
        <v>46079</v>
      </c>
      <c r="M15" s="1442">
        <v>46079</v>
      </c>
      <c r="N15" t="s">
        <v>84</v>
      </c>
      <c r="O15" s="1442">
        <v>46086</v>
      </c>
      <c r="P15" s="1442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1442">
        <v>46047</v>
      </c>
      <c r="K16" s="1442">
        <v>46093</v>
      </c>
      <c r="L16" s="1442">
        <v>46107</v>
      </c>
      <c r="M16" s="1442">
        <v>46107</v>
      </c>
      <c r="N16" t="s">
        <v>84</v>
      </c>
      <c r="O16" s="1442">
        <v>46104</v>
      </c>
      <c r="P16" s="1442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1442">
        <v>46047</v>
      </c>
      <c r="K17" s="1442">
        <v>46093</v>
      </c>
      <c r="L17" s="1442">
        <v>46107</v>
      </c>
      <c r="M17" s="1442">
        <v>46107</v>
      </c>
      <c r="N17" t="s">
        <v>84</v>
      </c>
      <c r="O17" s="1442">
        <v>46104</v>
      </c>
      <c r="P17" s="1442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1442">
        <v>46047</v>
      </c>
      <c r="K18" s="1442">
        <v>46093</v>
      </c>
      <c r="L18" s="1442">
        <v>46107</v>
      </c>
      <c r="M18" s="1442">
        <v>46107</v>
      </c>
      <c r="N18" t="s">
        <v>84</v>
      </c>
      <c r="O18" s="1442">
        <v>46104</v>
      </c>
      <c r="P18" s="1442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1442">
        <v>46050</v>
      </c>
      <c r="K19" s="1442">
        <v>46119</v>
      </c>
      <c r="L19" s="1442">
        <v>46128</v>
      </c>
      <c r="M19" s="1442">
        <v>46128</v>
      </c>
      <c r="N19" t="s">
        <v>84</v>
      </c>
      <c r="O19" s="1442">
        <v>46118</v>
      </c>
      <c r="P19" s="1442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1442">
        <v>46050</v>
      </c>
      <c r="K20" s="1442">
        <v>46119</v>
      </c>
      <c r="L20" s="1442">
        <v>46128</v>
      </c>
      <c r="M20" s="1442">
        <v>46128</v>
      </c>
      <c r="N20" t="s">
        <v>84</v>
      </c>
      <c r="O20" s="1442">
        <v>46118</v>
      </c>
      <c r="P20" s="1442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1442">
        <v>46050</v>
      </c>
      <c r="K21" s="1442">
        <v>46119</v>
      </c>
      <c r="L21" s="1442">
        <v>46128</v>
      </c>
      <c r="M21" s="1442">
        <v>46128</v>
      </c>
      <c r="N21" t="s">
        <v>84</v>
      </c>
      <c r="O21" s="1442">
        <v>46118</v>
      </c>
      <c r="P21" s="1442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1442">
        <v>46050</v>
      </c>
      <c r="K22" s="1442">
        <v>46119</v>
      </c>
      <c r="L22" s="1442">
        <v>46128</v>
      </c>
      <c r="M22" s="1442">
        <v>46128</v>
      </c>
      <c r="N22" t="s">
        <v>84</v>
      </c>
      <c r="O22" s="1442">
        <v>46118</v>
      </c>
      <c r="P22" s="1442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1442">
        <v>46048</v>
      </c>
      <c r="K23" s="1442">
        <v>46114</v>
      </c>
      <c r="L23" s="1442"/>
      <c r="M23" s="1442">
        <v>46112</v>
      </c>
      <c r="N23" t="s">
        <v>84</v>
      </c>
      <c r="O23" s="1442">
        <v>46114</v>
      </c>
      <c r="P23" s="1442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1442">
        <v>46036</v>
      </c>
      <c r="K24" s="1442">
        <v>46077</v>
      </c>
      <c r="L24" s="1442">
        <v>46094</v>
      </c>
      <c r="M24" s="1442">
        <v>46094</v>
      </c>
      <c r="N24" t="s">
        <v>84</v>
      </c>
      <c r="O24" s="1442">
        <v>46107</v>
      </c>
      <c r="P24" s="1442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1442">
        <v>46036</v>
      </c>
      <c r="K25" s="1442">
        <v>46077</v>
      </c>
      <c r="L25" s="1442">
        <v>46094</v>
      </c>
      <c r="M25" s="1442">
        <v>46094</v>
      </c>
      <c r="N25" t="s">
        <v>84</v>
      </c>
      <c r="O25" s="1442">
        <v>46107</v>
      </c>
      <c r="P25" s="1442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1442">
        <v>46038</v>
      </c>
      <c r="K26" s="1442">
        <v>46069</v>
      </c>
      <c r="L26" s="1442">
        <v>46087</v>
      </c>
      <c r="M26" s="1442">
        <v>46087</v>
      </c>
      <c r="N26" t="s">
        <v>84</v>
      </c>
      <c r="O26" s="1442">
        <v>46094</v>
      </c>
      <c r="P26" s="1442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1442">
        <v>46038</v>
      </c>
      <c r="K27" s="1442">
        <v>46069</v>
      </c>
      <c r="L27" s="1442">
        <v>46087</v>
      </c>
      <c r="M27" s="1442">
        <v>46087</v>
      </c>
      <c r="N27" t="s">
        <v>84</v>
      </c>
      <c r="O27" s="1442">
        <v>46101</v>
      </c>
      <c r="P27" s="1442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1442">
        <v>46038</v>
      </c>
      <c r="K28" s="1442">
        <v>46069</v>
      </c>
      <c r="L28" s="1442">
        <v>46087</v>
      </c>
      <c r="M28" s="1442">
        <v>46087</v>
      </c>
      <c r="N28" t="s">
        <v>84</v>
      </c>
      <c r="O28" s="1442">
        <v>46094</v>
      </c>
      <c r="P28" s="1442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1442">
        <v>46031</v>
      </c>
      <c r="K29" s="1442">
        <v>46069</v>
      </c>
      <c r="L29" s="1442">
        <v>46087</v>
      </c>
      <c r="M29" s="1442">
        <v>46087</v>
      </c>
      <c r="N29" t="s">
        <v>84</v>
      </c>
      <c r="O29" s="1442">
        <v>46101</v>
      </c>
      <c r="P29" s="1442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1442">
        <v>46038</v>
      </c>
      <c r="K30" s="1442">
        <v>46069</v>
      </c>
      <c r="L30" s="1442">
        <v>46087</v>
      </c>
      <c r="M30" s="1442">
        <v>46087</v>
      </c>
      <c r="N30" t="s">
        <v>84</v>
      </c>
      <c r="O30" s="1442">
        <v>46101</v>
      </c>
      <c r="P30" s="1442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1442">
        <v>46033</v>
      </c>
      <c r="K31" s="1442">
        <v>46070</v>
      </c>
      <c r="L31" s="1442">
        <v>46074</v>
      </c>
      <c r="M31" s="1442">
        <v>46078</v>
      </c>
      <c r="N31" t="s">
        <v>84</v>
      </c>
      <c r="O31" s="1442">
        <v>46090</v>
      </c>
      <c r="P31" s="1442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1442">
        <v>46033</v>
      </c>
      <c r="K32" s="1442">
        <v>46070</v>
      </c>
      <c r="L32" s="1442">
        <v>46074</v>
      </c>
      <c r="M32" s="1442">
        <v>46078</v>
      </c>
      <c r="N32" t="s">
        <v>84</v>
      </c>
      <c r="O32" s="1442">
        <v>46090</v>
      </c>
      <c r="P32" s="1442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1442">
        <v>46028</v>
      </c>
      <c r="K33" s="1442">
        <v>46072</v>
      </c>
      <c r="L33" s="1442">
        <v>46072</v>
      </c>
      <c r="M33" s="1442">
        <v>46075</v>
      </c>
      <c r="N33" t="s">
        <v>84</v>
      </c>
      <c r="O33" s="1442">
        <v>46086</v>
      </c>
      <c r="P33" s="1442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1442">
        <v>46035</v>
      </c>
      <c r="K34" s="1442">
        <v>46071</v>
      </c>
      <c r="L34" s="1442">
        <v>46083</v>
      </c>
      <c r="M34" s="1442">
        <v>46083</v>
      </c>
      <c r="N34" t="s">
        <v>84</v>
      </c>
      <c r="O34" s="1442">
        <v>46097</v>
      </c>
      <c r="P34" s="1442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1442">
        <v>46032</v>
      </c>
      <c r="K35" s="1442">
        <v>46072</v>
      </c>
      <c r="L35" s="1442">
        <v>46076</v>
      </c>
      <c r="M35" s="1442">
        <v>46078</v>
      </c>
      <c r="N35" t="s">
        <v>84</v>
      </c>
      <c r="O35" s="1442">
        <v>46092</v>
      </c>
      <c r="P35" s="1442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1442">
        <v>46032</v>
      </c>
      <c r="K36" s="1442">
        <v>46072</v>
      </c>
      <c r="L36" s="1442">
        <v>46076</v>
      </c>
      <c r="M36" s="1442">
        <v>46078</v>
      </c>
      <c r="N36" t="s">
        <v>84</v>
      </c>
      <c r="O36" s="1442">
        <v>46092</v>
      </c>
      <c r="P36" s="1442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1442">
        <v>46028</v>
      </c>
      <c r="K37" s="1442">
        <v>46077</v>
      </c>
      <c r="L37" s="1442">
        <v>46083</v>
      </c>
      <c r="M37" s="1442">
        <v>46083</v>
      </c>
      <c r="N37" t="s">
        <v>84</v>
      </c>
      <c r="O37" s="1442">
        <v>46097</v>
      </c>
      <c r="P37" s="1442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1442">
        <v>46036</v>
      </c>
      <c r="K38" s="1442">
        <v>46077</v>
      </c>
      <c r="L38" s="1442">
        <v>46094</v>
      </c>
      <c r="M38" s="1442">
        <v>46094</v>
      </c>
      <c r="N38" t="s">
        <v>84</v>
      </c>
      <c r="O38" s="1442">
        <v>46104</v>
      </c>
      <c r="P38" s="1442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1442">
        <v>46028</v>
      </c>
      <c r="K39" s="1442">
        <v>46077</v>
      </c>
      <c r="L39" s="1442">
        <v>46083</v>
      </c>
      <c r="M39" s="1442">
        <v>46083</v>
      </c>
      <c r="N39" t="s">
        <v>84</v>
      </c>
      <c r="O39" s="1442">
        <v>46097</v>
      </c>
      <c r="P39" s="1442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1442">
        <v>46045</v>
      </c>
      <c r="K40" s="1442">
        <v>46071</v>
      </c>
      <c r="L40" s="1442">
        <v>46080</v>
      </c>
      <c r="M40" s="1442">
        <v>46084</v>
      </c>
      <c r="N40" t="s">
        <v>84</v>
      </c>
      <c r="O40" s="1442">
        <v>46085</v>
      </c>
      <c r="P40" s="1442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1442">
        <v>46035</v>
      </c>
      <c r="K41" s="1442">
        <v>46079</v>
      </c>
      <c r="L41" s="1442">
        <v>46079</v>
      </c>
      <c r="M41" s="1442">
        <v>46079</v>
      </c>
      <c r="N41" t="s">
        <v>84</v>
      </c>
      <c r="O41" s="1442">
        <v>46093</v>
      </c>
      <c r="P41" s="1442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1442">
        <v>46035</v>
      </c>
      <c r="K42" s="1442">
        <v>46079</v>
      </c>
      <c r="L42" s="1442">
        <v>46079</v>
      </c>
      <c r="M42" s="1442">
        <v>46079</v>
      </c>
      <c r="N42" t="s">
        <v>84</v>
      </c>
      <c r="O42" s="1442">
        <v>46093</v>
      </c>
      <c r="P42" s="1442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1442">
        <v>46032</v>
      </c>
      <c r="K43" s="1442">
        <v>46091</v>
      </c>
      <c r="L43" s="1442">
        <v>46095</v>
      </c>
      <c r="M43" s="1442">
        <v>46096</v>
      </c>
      <c r="N43" t="s">
        <v>84</v>
      </c>
      <c r="O43" s="1442">
        <v>46105</v>
      </c>
      <c r="P43" s="1442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1442">
        <v>46043</v>
      </c>
      <c r="K44" s="1442">
        <v>46081</v>
      </c>
      <c r="L44" s="1442">
        <v>46091</v>
      </c>
      <c r="M44" s="1442">
        <v>46092</v>
      </c>
      <c r="N44" t="s">
        <v>84</v>
      </c>
      <c r="O44" s="1442">
        <v>46097</v>
      </c>
      <c r="P44" s="1442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1442">
        <v>46037</v>
      </c>
      <c r="K45" s="1442">
        <v>46078</v>
      </c>
      <c r="L45" s="1442">
        <v>46078</v>
      </c>
      <c r="M45" s="1442">
        <v>46078</v>
      </c>
      <c r="N45" t="s">
        <v>84</v>
      </c>
      <c r="O45" s="1442">
        <v>46092</v>
      </c>
      <c r="P45" s="1442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1442">
        <v>46035</v>
      </c>
      <c r="K46" s="1442">
        <v>46079</v>
      </c>
      <c r="L46" s="1442">
        <v>46079</v>
      </c>
      <c r="M46" s="1442">
        <v>46079</v>
      </c>
      <c r="N46" t="s">
        <v>84</v>
      </c>
      <c r="O46" s="1442">
        <v>46093</v>
      </c>
      <c r="P46" s="1442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1442">
        <v>46040</v>
      </c>
      <c r="K47" s="1442">
        <v>46077</v>
      </c>
      <c r="L47" s="1442">
        <v>46077</v>
      </c>
      <c r="M47" s="1442">
        <v>46079</v>
      </c>
      <c r="N47" t="s">
        <v>84</v>
      </c>
      <c r="O47" s="1442">
        <v>46091</v>
      </c>
      <c r="P47" s="1442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1442">
        <v>46040</v>
      </c>
      <c r="K48" s="1442">
        <v>46077</v>
      </c>
      <c r="L48" s="1442">
        <v>46077</v>
      </c>
      <c r="M48" s="1442">
        <v>46079</v>
      </c>
      <c r="N48" t="s">
        <v>84</v>
      </c>
      <c r="O48" s="1442">
        <v>46091</v>
      </c>
      <c r="P48" s="1442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1442">
        <v>46040</v>
      </c>
      <c r="K49" s="1442">
        <v>46077</v>
      </c>
      <c r="L49" s="1442">
        <v>46077</v>
      </c>
      <c r="M49" s="1442">
        <v>46079</v>
      </c>
      <c r="N49" t="s">
        <v>84</v>
      </c>
      <c r="O49" s="1442">
        <v>46091</v>
      </c>
      <c r="P49" s="1442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1442">
        <v>46040</v>
      </c>
      <c r="K50" s="1442">
        <v>46077</v>
      </c>
      <c r="L50" s="1442">
        <v>46077</v>
      </c>
      <c r="M50" s="1442">
        <v>46079</v>
      </c>
      <c r="N50" t="s">
        <v>84</v>
      </c>
      <c r="O50" s="1442">
        <v>46091</v>
      </c>
      <c r="P50" s="1442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1442">
        <v>46040</v>
      </c>
      <c r="K51" s="1442">
        <v>46077</v>
      </c>
      <c r="L51" s="1442">
        <v>46077</v>
      </c>
      <c r="M51" s="1442">
        <v>46078</v>
      </c>
      <c r="N51" t="s">
        <v>84</v>
      </c>
      <c r="O51" s="1442">
        <v>46091</v>
      </c>
      <c r="P51" s="1442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1442">
        <v>46040</v>
      </c>
      <c r="K52" s="1442">
        <v>46077</v>
      </c>
      <c r="L52" s="1442">
        <v>46077</v>
      </c>
      <c r="M52" s="1442">
        <v>46078</v>
      </c>
      <c r="N52" t="s">
        <v>84</v>
      </c>
      <c r="O52" s="1442">
        <v>46091</v>
      </c>
      <c r="P52" s="1442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1442">
        <v>46040</v>
      </c>
      <c r="K53" s="1442">
        <v>46077</v>
      </c>
      <c r="L53" s="1442">
        <v>46077</v>
      </c>
      <c r="M53" s="1442">
        <v>46078</v>
      </c>
      <c r="N53" t="s">
        <v>84</v>
      </c>
      <c r="O53" s="1442">
        <v>46091</v>
      </c>
      <c r="P53" s="1442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1442">
        <v>46036</v>
      </c>
      <c r="K54" s="1442">
        <v>46077</v>
      </c>
      <c r="L54" s="1442">
        <v>46094</v>
      </c>
      <c r="M54" s="1442">
        <v>46094</v>
      </c>
      <c r="N54" t="s">
        <v>84</v>
      </c>
      <c r="O54" s="1442">
        <v>46104</v>
      </c>
      <c r="P54" s="1442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1442">
        <v>46037</v>
      </c>
      <c r="K55" s="1442">
        <v>46078</v>
      </c>
      <c r="L55" s="1442">
        <v>46078</v>
      </c>
      <c r="M55" s="1442">
        <v>46078</v>
      </c>
      <c r="N55" t="s">
        <v>84</v>
      </c>
      <c r="O55" s="1442">
        <v>46092</v>
      </c>
      <c r="P55" s="1442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1442">
        <v>46053</v>
      </c>
      <c r="K56" s="1442">
        <v>46087</v>
      </c>
      <c r="L56" s="1442">
        <v>46113</v>
      </c>
      <c r="M56" s="1442">
        <v>46114</v>
      </c>
      <c r="N56" t="s">
        <v>84</v>
      </c>
      <c r="O56" s="1442">
        <v>46101</v>
      </c>
      <c r="P56" s="1442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1442">
        <v>46056</v>
      </c>
      <c r="K57" s="1442">
        <v>46090</v>
      </c>
      <c r="L57" s="1442">
        <v>46091</v>
      </c>
      <c r="M57" s="1442">
        <v>46092</v>
      </c>
      <c r="N57" t="s">
        <v>84</v>
      </c>
      <c r="O57" s="1442">
        <v>46104</v>
      </c>
      <c r="P57" s="1442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1442">
        <v>46053</v>
      </c>
      <c r="K58" s="1442">
        <v>46120</v>
      </c>
      <c r="L58" s="1442">
        <v>46127</v>
      </c>
      <c r="M58" s="1442">
        <v>46127</v>
      </c>
      <c r="N58" t="s">
        <v>973</v>
      </c>
      <c r="O58" s="1442">
        <v>46134</v>
      </c>
      <c r="P58" s="1442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1442">
        <v>46055</v>
      </c>
      <c r="K59" s="1442">
        <v>46106</v>
      </c>
      <c r="L59" s="1442">
        <v>46121</v>
      </c>
      <c r="M59" s="1442">
        <v>46122</v>
      </c>
      <c r="N59" t="s">
        <v>84</v>
      </c>
      <c r="O59" s="1442">
        <v>46120</v>
      </c>
      <c r="P59" s="1442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1442">
        <v>45682</v>
      </c>
      <c r="K60" s="1442">
        <v>46084</v>
      </c>
      <c r="L60" s="1442">
        <v>46086</v>
      </c>
      <c r="M60" s="1442">
        <v>46086</v>
      </c>
      <c r="N60" t="s">
        <v>84</v>
      </c>
      <c r="O60" s="1442">
        <v>46099</v>
      </c>
      <c r="P60" s="1442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1442">
        <v>46040</v>
      </c>
      <c r="K61" s="1442">
        <v>46084</v>
      </c>
      <c r="L61" s="1442">
        <v>46103</v>
      </c>
      <c r="M61" s="1442">
        <v>46103</v>
      </c>
      <c r="N61" t="s">
        <v>84</v>
      </c>
      <c r="O61" s="1442">
        <v>46118</v>
      </c>
      <c r="P61" s="1442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1442">
        <v>46047</v>
      </c>
      <c r="K62" s="1442">
        <v>46084</v>
      </c>
      <c r="L62" s="1442">
        <v>46092</v>
      </c>
      <c r="M62" s="1442">
        <v>46092</v>
      </c>
      <c r="N62" t="s">
        <v>84</v>
      </c>
      <c r="O62" s="1442">
        <v>46105</v>
      </c>
      <c r="P62" s="1442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1442">
        <v>46047</v>
      </c>
      <c r="K63" s="1442">
        <v>46084</v>
      </c>
      <c r="L63" s="1442">
        <v>46092</v>
      </c>
      <c r="M63" s="1442">
        <v>46092</v>
      </c>
      <c r="N63" t="s">
        <v>84</v>
      </c>
      <c r="O63" s="1442">
        <v>46105</v>
      </c>
      <c r="P63" s="1442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1442">
        <v>46047</v>
      </c>
      <c r="K64" s="1442">
        <v>46084</v>
      </c>
      <c r="L64" s="1442">
        <v>46092</v>
      </c>
      <c r="M64" s="1442">
        <v>46092</v>
      </c>
      <c r="N64" t="s">
        <v>84</v>
      </c>
      <c r="O64" s="1442">
        <v>46105</v>
      </c>
      <c r="P64" s="1442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1442">
        <v>45682</v>
      </c>
      <c r="K65" s="1442">
        <v>46084</v>
      </c>
      <c r="L65" s="1442">
        <v>46092</v>
      </c>
      <c r="M65" s="1442">
        <v>46092</v>
      </c>
      <c r="N65" t="s">
        <v>84</v>
      </c>
      <c r="O65" s="1442">
        <v>46105</v>
      </c>
      <c r="P65" s="1442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1442">
        <v>45682</v>
      </c>
      <c r="K66" s="1442">
        <v>46084</v>
      </c>
      <c r="L66" s="1442">
        <v>46092</v>
      </c>
      <c r="M66" s="1442">
        <v>46092</v>
      </c>
      <c r="N66" t="s">
        <v>84</v>
      </c>
      <c r="O66" s="1442">
        <v>46105</v>
      </c>
      <c r="P66" s="1442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1442">
        <v>46027</v>
      </c>
      <c r="K67" s="1442">
        <v>46090</v>
      </c>
      <c r="L67" s="1442">
        <v>46101</v>
      </c>
      <c r="M67" s="1442">
        <v>46102</v>
      </c>
      <c r="N67" t="s">
        <v>84</v>
      </c>
      <c r="O67" s="1442">
        <v>46115</v>
      </c>
      <c r="P67" s="1442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1442">
        <v>46042</v>
      </c>
      <c r="K68" s="1442">
        <v>46091</v>
      </c>
      <c r="L68" s="1442">
        <v>46090</v>
      </c>
      <c r="M68" s="1442">
        <v>46090</v>
      </c>
      <c r="N68" t="s">
        <v>84</v>
      </c>
      <c r="O68" s="1442">
        <v>46104</v>
      </c>
      <c r="P68" s="1442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1442">
        <v>46048</v>
      </c>
      <c r="K69" s="1442">
        <v>46090</v>
      </c>
      <c r="L69" s="1442">
        <v>46091</v>
      </c>
      <c r="M69" s="1442">
        <v>46089</v>
      </c>
      <c r="N69" t="s">
        <v>84</v>
      </c>
      <c r="O69" s="1442">
        <v>46105</v>
      </c>
      <c r="P69" s="1442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1442">
        <v>46042</v>
      </c>
      <c r="K70" s="1442">
        <v>46091</v>
      </c>
      <c r="L70" s="1442">
        <v>46090</v>
      </c>
      <c r="M70" s="1442">
        <v>46090</v>
      </c>
      <c r="N70" t="s">
        <v>84</v>
      </c>
      <c r="O70" s="1442">
        <v>46104</v>
      </c>
      <c r="P70" s="1442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1442">
        <v>46050</v>
      </c>
      <c r="K71" s="1442">
        <v>46089</v>
      </c>
      <c r="L71" s="1442">
        <v>46108</v>
      </c>
      <c r="M71" s="1442">
        <v>46108</v>
      </c>
      <c r="N71" t="s">
        <v>84</v>
      </c>
      <c r="O71" s="1442">
        <v>46120</v>
      </c>
      <c r="P71" s="1442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1442">
        <v>46057</v>
      </c>
      <c r="K72" s="1442">
        <v>46087</v>
      </c>
      <c r="L72" s="1442">
        <v>46097</v>
      </c>
      <c r="M72" s="1442">
        <v>46099</v>
      </c>
      <c r="N72" t="s">
        <v>84</v>
      </c>
      <c r="O72" s="1442">
        <v>46111</v>
      </c>
      <c r="P72" s="1442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1442">
        <v>46050</v>
      </c>
      <c r="K73" s="1442">
        <v>46087</v>
      </c>
      <c r="L73" s="1442">
        <v>46102</v>
      </c>
      <c r="M73" s="1442">
        <v>46102</v>
      </c>
      <c r="N73" t="s">
        <v>84</v>
      </c>
      <c r="O73" s="1442">
        <v>46114</v>
      </c>
      <c r="P73" s="1442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1442">
        <v>46045</v>
      </c>
      <c r="K74" s="1442">
        <v>46087</v>
      </c>
      <c r="L74" s="1442">
        <v>46097</v>
      </c>
      <c r="M74" s="1442">
        <v>46100</v>
      </c>
      <c r="N74" t="s">
        <v>84</v>
      </c>
      <c r="O74" s="1442">
        <v>46104</v>
      </c>
      <c r="P74" s="1442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1442">
        <v>46057</v>
      </c>
      <c r="K75" s="1442">
        <v>46112</v>
      </c>
      <c r="L75" s="1442">
        <v>46132</v>
      </c>
      <c r="M75" s="1442">
        <v>46132</v>
      </c>
      <c r="N75" t="s">
        <v>84</v>
      </c>
      <c r="O75" s="1442">
        <v>46146</v>
      </c>
      <c r="P75" s="1442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1442">
        <v>46057</v>
      </c>
      <c r="K76" s="1442">
        <v>46112</v>
      </c>
      <c r="L76" s="1442">
        <v>46132</v>
      </c>
      <c r="M76" s="1442">
        <v>46132</v>
      </c>
      <c r="N76" t="s">
        <v>84</v>
      </c>
      <c r="O76" s="1442">
        <v>46146</v>
      </c>
      <c r="P76" s="1442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1442">
        <v>46055</v>
      </c>
      <c r="K77" s="1442">
        <v>46098</v>
      </c>
      <c r="L77" s="1442">
        <v>46101</v>
      </c>
      <c r="M77" s="1442">
        <v>46103</v>
      </c>
      <c r="N77" t="s">
        <v>84</v>
      </c>
      <c r="O77" s="1442">
        <v>46115</v>
      </c>
      <c r="P77" s="1442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1442">
        <v>46049</v>
      </c>
      <c r="K78" s="1442">
        <v>46098</v>
      </c>
      <c r="L78" s="1442">
        <v>46101</v>
      </c>
      <c r="M78" s="1442">
        <v>46103</v>
      </c>
      <c r="N78" t="s">
        <v>84</v>
      </c>
      <c r="O78" s="1442">
        <v>46115</v>
      </c>
      <c r="P78" s="1442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1442">
        <v>46057</v>
      </c>
      <c r="K79" s="1442">
        <v>46094</v>
      </c>
      <c r="L79" s="1442">
        <v>46106</v>
      </c>
      <c r="M79" s="1442">
        <v>46107</v>
      </c>
      <c r="N79" t="s">
        <v>84</v>
      </c>
      <c r="O79" s="1442">
        <v>46120</v>
      </c>
      <c r="P79" s="1442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1442">
        <v>46049</v>
      </c>
      <c r="K80" s="1442">
        <v>46098</v>
      </c>
      <c r="L80" s="1442">
        <v>46101</v>
      </c>
      <c r="M80" s="1442">
        <v>46103</v>
      </c>
      <c r="N80" t="s">
        <v>84</v>
      </c>
      <c r="O80" s="1442">
        <v>46115</v>
      </c>
      <c r="P80" s="1442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1442">
        <v>46049</v>
      </c>
      <c r="K81" s="1442">
        <v>46098</v>
      </c>
      <c r="L81" s="1442">
        <v>46101</v>
      </c>
      <c r="M81" s="1442">
        <v>46103</v>
      </c>
      <c r="N81" t="s">
        <v>84</v>
      </c>
      <c r="O81" s="1442">
        <v>46115</v>
      </c>
      <c r="P81" s="1442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1442">
        <v>46045</v>
      </c>
      <c r="K82" s="1442">
        <v>46097</v>
      </c>
      <c r="L82" s="1442">
        <v>46111</v>
      </c>
      <c r="M82" s="1442">
        <v>46111</v>
      </c>
      <c r="N82" t="s">
        <v>84</v>
      </c>
      <c r="O82" s="1442">
        <v>46120</v>
      </c>
      <c r="P82" s="1442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1442">
        <v>46054</v>
      </c>
      <c r="K83" s="1442">
        <v>46094</v>
      </c>
      <c r="L83" s="1442">
        <v>46116</v>
      </c>
      <c r="M83" s="1442">
        <v>46118</v>
      </c>
      <c r="N83" t="s">
        <v>84</v>
      </c>
      <c r="O83" s="1442">
        <v>46129</v>
      </c>
      <c r="P83" s="1442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1442">
        <v>46055</v>
      </c>
      <c r="K84" s="1442">
        <v>46093</v>
      </c>
      <c r="L84" s="1442">
        <v>46095</v>
      </c>
      <c r="M84" s="1442">
        <v>46095</v>
      </c>
      <c r="N84" t="s">
        <v>84</v>
      </c>
      <c r="O84" s="1442">
        <v>46111</v>
      </c>
      <c r="P84" s="1442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1442">
        <v>46055</v>
      </c>
      <c r="K85" s="1442">
        <v>46092</v>
      </c>
      <c r="L85" s="1442">
        <v>46102</v>
      </c>
      <c r="M85" s="1442">
        <v>46103</v>
      </c>
      <c r="N85" t="s">
        <v>84</v>
      </c>
      <c r="O85" s="1442">
        <v>46115</v>
      </c>
      <c r="P85" s="1442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1442">
        <v>46057</v>
      </c>
      <c r="K86" s="1442">
        <v>46094</v>
      </c>
      <c r="L86" s="1442">
        <v>46106</v>
      </c>
      <c r="M86" s="1442">
        <v>46107</v>
      </c>
      <c r="N86" t="s">
        <v>84</v>
      </c>
      <c r="O86" s="1442">
        <v>46120</v>
      </c>
      <c r="P86" s="1442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1442">
        <v>46054</v>
      </c>
      <c r="K87" s="1442">
        <v>46094</v>
      </c>
      <c r="L87" s="1442">
        <v>46116</v>
      </c>
      <c r="M87" s="1442">
        <v>46118</v>
      </c>
      <c r="N87" t="s">
        <v>84</v>
      </c>
      <c r="O87" s="1442">
        <v>46129</v>
      </c>
      <c r="P87" s="1442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1442">
        <v>46054</v>
      </c>
      <c r="K88" s="1442">
        <v>46091</v>
      </c>
      <c r="L88" s="1442">
        <v>46109</v>
      </c>
      <c r="M88" s="1442">
        <v>46110</v>
      </c>
      <c r="N88" t="s">
        <v>84</v>
      </c>
      <c r="O88" s="1442">
        <v>46121</v>
      </c>
      <c r="P88" s="1442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1442">
        <v>46054</v>
      </c>
      <c r="K89" s="1442">
        <v>46094</v>
      </c>
      <c r="L89" s="1442">
        <v>46116</v>
      </c>
      <c r="M89" s="1442">
        <v>46118</v>
      </c>
      <c r="N89" t="s">
        <v>973</v>
      </c>
      <c r="O89" s="1442">
        <v>46129</v>
      </c>
      <c r="P89" s="1442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1442">
        <v>46054</v>
      </c>
      <c r="K90" s="1442">
        <v>46091</v>
      </c>
      <c r="L90" s="1442">
        <v>46109</v>
      </c>
      <c r="M90" s="1442">
        <v>46110</v>
      </c>
      <c r="N90" t="s">
        <v>84</v>
      </c>
      <c r="O90" s="1442">
        <v>46121</v>
      </c>
      <c r="P90" s="1442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1442">
        <v>46054</v>
      </c>
      <c r="K91" s="1442">
        <v>46091</v>
      </c>
      <c r="L91" s="1442">
        <v>46109</v>
      </c>
      <c r="M91" s="1442">
        <v>46110</v>
      </c>
      <c r="N91" t="s">
        <v>84</v>
      </c>
      <c r="O91" s="1442">
        <v>46121</v>
      </c>
      <c r="P91" s="1442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1442">
        <v>46054</v>
      </c>
      <c r="K92" s="1442">
        <v>46094</v>
      </c>
      <c r="L92" s="1442">
        <v>46109</v>
      </c>
      <c r="M92" s="1442">
        <v>46118</v>
      </c>
      <c r="N92" t="s">
        <v>973</v>
      </c>
      <c r="O92" s="1442">
        <v>46125</v>
      </c>
      <c r="P92" s="1442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1442">
        <v>46054</v>
      </c>
      <c r="K93" s="1442">
        <v>46094</v>
      </c>
      <c r="L93" s="1442">
        <v>46109</v>
      </c>
      <c r="M93" s="1442">
        <v>46118</v>
      </c>
      <c r="N93" t="s">
        <v>973</v>
      </c>
      <c r="O93" s="1442">
        <v>46129</v>
      </c>
      <c r="P93" s="1442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1442">
        <v>46057</v>
      </c>
      <c r="K94" s="1442">
        <v>46125</v>
      </c>
      <c r="L94" s="1442">
        <v>46136</v>
      </c>
      <c r="M94" s="1442">
        <v>46137</v>
      </c>
      <c r="N94" t="s">
        <v>84</v>
      </c>
      <c r="O94" s="1442">
        <v>46150</v>
      </c>
      <c r="P94" s="1442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1442">
        <v>46057</v>
      </c>
      <c r="K95" s="1442">
        <v>46125</v>
      </c>
      <c r="L95" s="1442">
        <v>46136</v>
      </c>
      <c r="M95" s="1442">
        <v>46137</v>
      </c>
      <c r="N95" t="s">
        <v>84</v>
      </c>
      <c r="O95" s="1442">
        <v>46150</v>
      </c>
      <c r="P95" s="1442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1442">
        <v>46057</v>
      </c>
      <c r="K96" s="1442">
        <v>46119</v>
      </c>
      <c r="L96" s="1442">
        <v>46125</v>
      </c>
      <c r="M96" s="1442">
        <v>46125</v>
      </c>
      <c r="N96" t="s">
        <v>84</v>
      </c>
      <c r="O96" s="1442">
        <v>46139</v>
      </c>
      <c r="P96" s="1442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1442">
        <v>46057</v>
      </c>
      <c r="K97" s="1442">
        <v>46125</v>
      </c>
      <c r="L97" s="1442">
        <v>46136</v>
      </c>
      <c r="M97" s="1442">
        <v>46137</v>
      </c>
      <c r="N97" t="s">
        <v>84</v>
      </c>
      <c r="O97" s="1442">
        <v>46150</v>
      </c>
      <c r="P97" s="1442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1442">
        <v>46045</v>
      </c>
      <c r="K98" s="1442">
        <v>46100</v>
      </c>
      <c r="L98" s="1442">
        <v>46114</v>
      </c>
      <c r="M98" s="1442">
        <v>46117</v>
      </c>
      <c r="N98" t="s">
        <v>84</v>
      </c>
      <c r="O98" s="1442">
        <v>46120</v>
      </c>
      <c r="P98" s="1442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1442">
        <v>46051</v>
      </c>
      <c r="K99" s="1442">
        <v>46093</v>
      </c>
      <c r="L99" s="1442">
        <v>46095</v>
      </c>
      <c r="M99" s="1442">
        <v>46095</v>
      </c>
      <c r="N99" t="s">
        <v>84</v>
      </c>
      <c r="O99" s="1442">
        <v>46107</v>
      </c>
      <c r="P99" s="1442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1442">
        <v>46042</v>
      </c>
      <c r="K100" s="1442">
        <v>46081</v>
      </c>
      <c r="L100" s="1442">
        <v>46083</v>
      </c>
      <c r="M100" s="1442">
        <v>46084</v>
      </c>
      <c r="N100" t="s">
        <v>84</v>
      </c>
      <c r="O100" s="1442">
        <v>46095</v>
      </c>
      <c r="P100" s="1442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1442">
        <v>46031</v>
      </c>
      <c r="K101" s="1442">
        <v>46086</v>
      </c>
      <c r="L101" s="1442">
        <v>46088</v>
      </c>
      <c r="M101" s="1442">
        <v>46089</v>
      </c>
      <c r="N101" t="s">
        <v>84</v>
      </c>
      <c r="O101" s="1442">
        <v>46100</v>
      </c>
      <c r="P101" s="1442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1442">
        <v>46070</v>
      </c>
      <c r="K102" s="1442">
        <v>46131</v>
      </c>
      <c r="L102" s="1442">
        <v>46138</v>
      </c>
      <c r="M102" s="1442">
        <v>46138</v>
      </c>
      <c r="N102" t="s">
        <v>84</v>
      </c>
      <c r="O102" s="1442">
        <v>46153</v>
      </c>
      <c r="P102" s="1442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1442">
        <v>46066</v>
      </c>
      <c r="K103" s="1442">
        <v>46119</v>
      </c>
      <c r="L103" s="1442">
        <v>46141</v>
      </c>
      <c r="M103" s="1442">
        <v>46137</v>
      </c>
      <c r="N103" t="s">
        <v>84</v>
      </c>
      <c r="O103" s="1442">
        <v>46150</v>
      </c>
      <c r="P103" s="1442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1442">
        <v>46066</v>
      </c>
      <c r="K104" s="1442">
        <v>46119</v>
      </c>
      <c r="L104" s="1442">
        <v>46141</v>
      </c>
      <c r="M104" s="1442">
        <v>46137</v>
      </c>
      <c r="N104" t="s">
        <v>973</v>
      </c>
      <c r="O104" s="1442">
        <v>46150</v>
      </c>
      <c r="P104" s="1442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1442">
        <v>46066</v>
      </c>
      <c r="K105" s="1442">
        <v>46119</v>
      </c>
      <c r="L105" s="1442">
        <v>46141</v>
      </c>
      <c r="M105" s="1442">
        <v>46137</v>
      </c>
      <c r="N105" t="s">
        <v>973</v>
      </c>
      <c r="O105" s="1442">
        <v>46150</v>
      </c>
      <c r="P105" s="1442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1442">
        <v>46066</v>
      </c>
      <c r="K106" s="1442">
        <v>46119</v>
      </c>
      <c r="L106" s="1442">
        <v>46141</v>
      </c>
      <c r="M106" s="1442">
        <v>46137</v>
      </c>
      <c r="N106" t="s">
        <v>973</v>
      </c>
      <c r="O106" s="1442">
        <v>46150</v>
      </c>
      <c r="P106" s="1442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1442">
        <v>46066</v>
      </c>
      <c r="K107" s="1442">
        <v>46119</v>
      </c>
      <c r="L107" s="1442">
        <v>46141</v>
      </c>
      <c r="M107" s="1442">
        <v>46137</v>
      </c>
      <c r="N107" t="s">
        <v>84</v>
      </c>
      <c r="O107" s="1442">
        <v>46150</v>
      </c>
      <c r="P107" s="1442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1442">
        <v>46066</v>
      </c>
      <c r="K108" s="1442">
        <v>46119</v>
      </c>
      <c r="L108" s="1442">
        <v>46141</v>
      </c>
      <c r="M108" s="1442">
        <v>46137</v>
      </c>
      <c r="N108" t="s">
        <v>973</v>
      </c>
      <c r="O108" s="1442">
        <v>46150</v>
      </c>
      <c r="P108" s="1442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1442">
        <v>46066</v>
      </c>
      <c r="K109" s="1442">
        <v>46119</v>
      </c>
      <c r="L109" s="1442">
        <v>46141</v>
      </c>
      <c r="M109" s="1442">
        <v>46137</v>
      </c>
      <c r="N109" t="s">
        <v>84</v>
      </c>
      <c r="O109" s="1442">
        <v>46150</v>
      </c>
      <c r="P109" s="1442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1442">
        <v>46066</v>
      </c>
      <c r="K110" s="1442">
        <v>46119</v>
      </c>
      <c r="L110" s="1442">
        <v>46141</v>
      </c>
      <c r="M110" s="1442">
        <v>46137</v>
      </c>
      <c r="N110" t="s">
        <v>973</v>
      </c>
      <c r="O110" s="1442">
        <v>46150</v>
      </c>
      <c r="P110" s="1442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1442">
        <v>46066</v>
      </c>
      <c r="K111" s="1442">
        <v>46119</v>
      </c>
      <c r="L111" s="1442">
        <v>46141</v>
      </c>
      <c r="M111" s="1442">
        <v>46137</v>
      </c>
      <c r="N111" t="s">
        <v>84</v>
      </c>
      <c r="O111" s="1442">
        <v>46150</v>
      </c>
      <c r="P111" s="1442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1442">
        <v>46066</v>
      </c>
      <c r="K112" s="1442">
        <v>46119</v>
      </c>
      <c r="L112" s="1442">
        <v>46133</v>
      </c>
      <c r="M112" s="1442">
        <v>46133</v>
      </c>
      <c r="N112" t="s">
        <v>84</v>
      </c>
      <c r="O112" s="1442">
        <v>46147</v>
      </c>
      <c r="P112" s="1442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1442">
        <v>46066</v>
      </c>
      <c r="K113" s="1442">
        <v>46119</v>
      </c>
      <c r="L113" s="1442">
        <v>46141</v>
      </c>
      <c r="M113" s="1442">
        <v>46137</v>
      </c>
      <c r="N113" t="s">
        <v>84</v>
      </c>
      <c r="O113" s="1442">
        <v>46150</v>
      </c>
      <c r="P113" s="1442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1442">
        <v>46066</v>
      </c>
      <c r="K114" s="1442">
        <v>46119</v>
      </c>
      <c r="L114" s="1442">
        <v>46141</v>
      </c>
      <c r="M114" s="1442">
        <v>46137</v>
      </c>
      <c r="N114" t="s">
        <v>84</v>
      </c>
      <c r="O114" s="1442">
        <v>46150</v>
      </c>
      <c r="P114" s="1442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1442">
        <v>46066</v>
      </c>
      <c r="K115" s="1442">
        <v>46139</v>
      </c>
      <c r="L115" s="1442">
        <v>46146</v>
      </c>
      <c r="M115" s="1442">
        <v>46144</v>
      </c>
      <c r="N115" t="s">
        <v>84</v>
      </c>
      <c r="O115" s="1442">
        <v>46160</v>
      </c>
      <c r="P115" s="1442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1442">
        <v>46066</v>
      </c>
      <c r="K116" s="1442">
        <v>46139</v>
      </c>
      <c r="L116" s="1442">
        <v>46146</v>
      </c>
      <c r="M116" s="1442">
        <v>46144</v>
      </c>
      <c r="N116" t="s">
        <v>84</v>
      </c>
      <c r="O116" s="1442">
        <v>46160</v>
      </c>
      <c r="P116" s="1442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1442">
        <v>46066</v>
      </c>
      <c r="K117" s="1442">
        <v>46139</v>
      </c>
      <c r="L117" s="1442">
        <v>46146</v>
      </c>
      <c r="M117" s="1442">
        <v>46144</v>
      </c>
      <c r="N117" t="s">
        <v>84</v>
      </c>
      <c r="O117" s="1442">
        <v>46160</v>
      </c>
      <c r="P117" s="1442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1442">
        <v>46066</v>
      </c>
      <c r="K118" s="1442">
        <v>46139</v>
      </c>
      <c r="L118" s="1442">
        <v>46146</v>
      </c>
      <c r="M118" s="1442">
        <v>46144</v>
      </c>
      <c r="N118" t="s">
        <v>84</v>
      </c>
      <c r="O118" s="1442">
        <v>46160</v>
      </c>
      <c r="P118" s="1442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1442">
        <v>46066</v>
      </c>
      <c r="K119" s="1442">
        <v>46139</v>
      </c>
      <c r="L119" s="1442">
        <v>46146</v>
      </c>
      <c r="M119" s="1442">
        <v>46144</v>
      </c>
      <c r="N119" t="s">
        <v>84</v>
      </c>
      <c r="O119" s="1442">
        <v>46160</v>
      </c>
      <c r="P119" s="1442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1442">
        <v>46066</v>
      </c>
      <c r="K120" s="1442">
        <v>46139</v>
      </c>
      <c r="L120" s="1442">
        <v>46146</v>
      </c>
      <c r="M120" s="1442">
        <v>46144</v>
      </c>
      <c r="N120" t="s">
        <v>84</v>
      </c>
      <c r="O120" s="1442">
        <v>46160</v>
      </c>
      <c r="P120" s="1442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1442">
        <v>46066</v>
      </c>
      <c r="K121" s="1442">
        <v>46119</v>
      </c>
      <c r="L121" s="1442">
        <v>46141</v>
      </c>
      <c r="M121" s="1442">
        <v>46137</v>
      </c>
      <c r="N121" t="s">
        <v>973</v>
      </c>
      <c r="O121" s="1442">
        <v>46148</v>
      </c>
      <c r="P121" s="1442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1442">
        <v>46066</v>
      </c>
      <c r="K122" s="1442">
        <v>46119</v>
      </c>
      <c r="L122" s="1442">
        <v>46141</v>
      </c>
      <c r="M122" s="1442">
        <v>46137</v>
      </c>
      <c r="N122" t="s">
        <v>84</v>
      </c>
      <c r="O122" s="1442">
        <v>46150</v>
      </c>
      <c r="P122" s="1442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1442">
        <v>46066</v>
      </c>
      <c r="K123" s="1442">
        <v>46119</v>
      </c>
      <c r="L123" s="1442">
        <v>46141</v>
      </c>
      <c r="M123" s="1442">
        <v>46137</v>
      </c>
      <c r="N123" t="s">
        <v>973</v>
      </c>
      <c r="O123" s="1442">
        <v>46150</v>
      </c>
      <c r="P123" s="1442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1442">
        <v>46063</v>
      </c>
      <c r="K124" s="1442">
        <v>46092</v>
      </c>
      <c r="L124" s="1442">
        <v>46115</v>
      </c>
      <c r="M124" s="1442">
        <v>46119</v>
      </c>
      <c r="N124" t="s">
        <v>84</v>
      </c>
      <c r="O124" s="1442">
        <v>46129</v>
      </c>
      <c r="P124" s="1442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1442">
        <v>46063</v>
      </c>
      <c r="K125" s="1442">
        <v>46114</v>
      </c>
      <c r="L125" s="1442">
        <v>46125</v>
      </c>
      <c r="M125" s="1442">
        <v>46126</v>
      </c>
      <c r="N125" t="s">
        <v>84</v>
      </c>
      <c r="O125" s="1442">
        <v>46135</v>
      </c>
      <c r="P125" s="1442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1442">
        <v>46063</v>
      </c>
      <c r="K126" s="1442">
        <v>46114</v>
      </c>
      <c r="L126" s="1442">
        <v>46125</v>
      </c>
      <c r="M126" s="1442">
        <v>46126</v>
      </c>
      <c r="N126" t="s">
        <v>84</v>
      </c>
      <c r="O126" s="1442">
        <v>46135</v>
      </c>
      <c r="P126" s="1442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1442">
        <v>46063</v>
      </c>
      <c r="K127" s="1442">
        <v>46114</v>
      </c>
      <c r="L127" s="1442">
        <v>46125</v>
      </c>
      <c r="M127" s="1442">
        <v>46126</v>
      </c>
      <c r="N127" t="s">
        <v>84</v>
      </c>
      <c r="O127" s="1442">
        <v>46135</v>
      </c>
      <c r="P127" s="1442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1442">
        <v>46063</v>
      </c>
      <c r="K128" s="1442">
        <v>46114</v>
      </c>
      <c r="L128" s="1442">
        <v>46125</v>
      </c>
      <c r="M128" s="1442">
        <v>46126</v>
      </c>
      <c r="N128" t="s">
        <v>84</v>
      </c>
      <c r="O128" s="1442">
        <v>46135</v>
      </c>
      <c r="P128" s="1442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1442">
        <v>46063</v>
      </c>
      <c r="K129" s="1442">
        <v>46107</v>
      </c>
      <c r="L129" s="1442">
        <v>46112</v>
      </c>
      <c r="M129" s="1442">
        <v>46112</v>
      </c>
      <c r="N129" t="s">
        <v>84</v>
      </c>
      <c r="O129" s="1442">
        <v>46121</v>
      </c>
      <c r="P129" s="1442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1442">
        <v>46063</v>
      </c>
      <c r="K130" s="1442">
        <v>46108</v>
      </c>
      <c r="L130" s="1442">
        <v>46136</v>
      </c>
      <c r="M130" s="1442">
        <v>46137</v>
      </c>
      <c r="N130" t="s">
        <v>84</v>
      </c>
      <c r="O130" s="1442">
        <v>46150</v>
      </c>
      <c r="P130" s="1442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1442">
        <v>46063</v>
      </c>
      <c r="K131" s="1442">
        <v>46101</v>
      </c>
      <c r="L131" s="1442">
        <v>46136</v>
      </c>
      <c r="M131" s="1442">
        <v>46137</v>
      </c>
      <c r="N131" t="s">
        <v>973</v>
      </c>
      <c r="O131" s="1442">
        <v>46150</v>
      </c>
      <c r="P131" s="1442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1442">
        <v>46063</v>
      </c>
      <c r="K132" s="1442">
        <v>46101</v>
      </c>
      <c r="L132" s="1442">
        <v>46136</v>
      </c>
      <c r="M132" s="1442">
        <v>46137</v>
      </c>
      <c r="N132" t="s">
        <v>84</v>
      </c>
      <c r="O132" s="1442">
        <v>46150</v>
      </c>
      <c r="P132" s="1442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1442">
        <v>46063</v>
      </c>
      <c r="K133" s="1442">
        <v>46111</v>
      </c>
      <c r="L133" s="1442">
        <v>46136</v>
      </c>
      <c r="M133" s="1442">
        <v>46137</v>
      </c>
      <c r="N133" t="s">
        <v>84</v>
      </c>
      <c r="O133" s="1442">
        <v>46150</v>
      </c>
      <c r="P133" s="1442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1442">
        <v>46063</v>
      </c>
      <c r="K134" s="1442">
        <v>46098</v>
      </c>
      <c r="L134" s="1442">
        <v>46109</v>
      </c>
      <c r="M134" s="1442">
        <v>46109</v>
      </c>
      <c r="N134" t="s">
        <v>973</v>
      </c>
      <c r="O134" s="1442">
        <v>46125</v>
      </c>
      <c r="P134" s="1442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1442">
        <v>46063</v>
      </c>
      <c r="K135" s="1442">
        <v>46102</v>
      </c>
      <c r="L135" s="1442">
        <v>46126</v>
      </c>
      <c r="M135" s="1442">
        <v>46127</v>
      </c>
      <c r="N135" t="s">
        <v>973</v>
      </c>
      <c r="O135" s="1442">
        <v>46134</v>
      </c>
      <c r="P135" s="1442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1442">
        <v>46062</v>
      </c>
      <c r="K136" s="1442">
        <v>46099</v>
      </c>
      <c r="L136" s="1442">
        <v>46126</v>
      </c>
      <c r="M136" s="1442">
        <v>46127</v>
      </c>
      <c r="N136" t="s">
        <v>973</v>
      </c>
      <c r="O136" s="1442">
        <v>46134</v>
      </c>
      <c r="P136" s="1442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1442">
        <v>46062</v>
      </c>
      <c r="K137" s="1442">
        <v>46099</v>
      </c>
      <c r="L137" s="1442">
        <v>46126</v>
      </c>
      <c r="M137" s="1442">
        <v>46127</v>
      </c>
      <c r="N137" t="s">
        <v>84</v>
      </c>
      <c r="O137" s="1442">
        <v>46134</v>
      </c>
      <c r="P137" s="1442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1442">
        <v>46062</v>
      </c>
      <c r="K138" s="1442">
        <v>46102</v>
      </c>
      <c r="L138" s="1442">
        <v>46111</v>
      </c>
      <c r="M138" s="1442">
        <v>46113</v>
      </c>
      <c r="N138" t="s">
        <v>84</v>
      </c>
      <c r="O138" s="1442">
        <v>46125</v>
      </c>
      <c r="P138" s="1442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1442">
        <v>46062</v>
      </c>
      <c r="K139" s="1442">
        <v>46099</v>
      </c>
      <c r="L139" s="1442">
        <v>46126</v>
      </c>
      <c r="M139" s="1442">
        <v>46127</v>
      </c>
      <c r="N139" t="s">
        <v>84</v>
      </c>
      <c r="O139" s="1442">
        <v>46134</v>
      </c>
      <c r="P139" s="1442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1442">
        <v>46062</v>
      </c>
      <c r="K140" s="1442">
        <v>46102</v>
      </c>
      <c r="L140" s="1442">
        <v>46111</v>
      </c>
      <c r="M140" s="1442">
        <v>46113</v>
      </c>
      <c r="N140" t="s">
        <v>84</v>
      </c>
      <c r="O140" s="1442">
        <v>46125</v>
      </c>
      <c r="P140" s="1442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1442">
        <v>46062</v>
      </c>
      <c r="K141" s="1442">
        <v>46102</v>
      </c>
      <c r="L141" s="1442">
        <v>46111</v>
      </c>
      <c r="M141" s="1442">
        <v>46113</v>
      </c>
      <c r="N141" t="s">
        <v>84</v>
      </c>
      <c r="O141" s="1442">
        <v>46125</v>
      </c>
      <c r="P141" s="1442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1442">
        <v>46041</v>
      </c>
      <c r="K142" s="1442">
        <v>46090</v>
      </c>
      <c r="L142" s="1442">
        <v>46111</v>
      </c>
      <c r="M142" s="1442">
        <v>46111</v>
      </c>
      <c r="N142" t="s">
        <v>84</v>
      </c>
      <c r="O142" s="1442">
        <v>46125</v>
      </c>
      <c r="P142" s="1442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1442">
        <v>46055</v>
      </c>
      <c r="K143" s="1442">
        <v>46101</v>
      </c>
      <c r="L143" s="1442">
        <v>46111</v>
      </c>
      <c r="M143" s="1442">
        <v>46118</v>
      </c>
      <c r="N143" t="s">
        <v>84</v>
      </c>
      <c r="O143" s="1442">
        <v>46133</v>
      </c>
      <c r="P143" s="1442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1442">
        <v>46055</v>
      </c>
      <c r="K144" s="1442">
        <v>46101</v>
      </c>
      <c r="L144" s="1442">
        <v>46111</v>
      </c>
      <c r="M144" s="1442">
        <v>46118</v>
      </c>
      <c r="N144" t="s">
        <v>84</v>
      </c>
      <c r="O144" s="1442">
        <v>46133</v>
      </c>
      <c r="P144" s="1442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1442">
        <v>46045</v>
      </c>
      <c r="K145" s="1442">
        <v>46089</v>
      </c>
      <c r="L145" s="1442">
        <v>46111</v>
      </c>
      <c r="M145" s="1442">
        <v>46111</v>
      </c>
      <c r="N145" t="s">
        <v>84</v>
      </c>
      <c r="O145" s="1442">
        <v>46125</v>
      </c>
      <c r="P145" s="1442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1442">
        <v>46045</v>
      </c>
      <c r="K146" s="1442">
        <v>46089</v>
      </c>
      <c r="L146" s="1442">
        <v>46111</v>
      </c>
      <c r="M146" s="1442">
        <v>46111</v>
      </c>
      <c r="N146" t="s">
        <v>84</v>
      </c>
      <c r="O146" s="1442">
        <v>46125</v>
      </c>
      <c r="P146" s="1442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1442">
        <v>46050</v>
      </c>
      <c r="K147" s="1442">
        <v>46101</v>
      </c>
      <c r="L147" s="1442">
        <v>46116</v>
      </c>
      <c r="M147" s="1442">
        <v>46118</v>
      </c>
      <c r="N147" t="s">
        <v>84</v>
      </c>
      <c r="O147" s="1442">
        <v>46132</v>
      </c>
      <c r="P147" s="1442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1442">
        <v>46045</v>
      </c>
      <c r="K148" s="1442">
        <v>46089</v>
      </c>
      <c r="L148" s="1442">
        <v>46111</v>
      </c>
      <c r="M148" s="1442">
        <v>46111</v>
      </c>
      <c r="N148" t="s">
        <v>84</v>
      </c>
      <c r="O148" s="1442">
        <v>46125</v>
      </c>
      <c r="P148" s="1442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1442">
        <v>46045</v>
      </c>
      <c r="K149" s="1442">
        <v>46089</v>
      </c>
      <c r="L149" s="1442">
        <v>46111</v>
      </c>
      <c r="M149" s="1442">
        <v>46111</v>
      </c>
      <c r="N149" t="s">
        <v>84</v>
      </c>
      <c r="O149" s="1442">
        <v>46125</v>
      </c>
      <c r="P149" s="1442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1442">
        <v>46050</v>
      </c>
      <c r="K150" s="1442">
        <v>46101</v>
      </c>
      <c r="L150" s="1442">
        <v>46116</v>
      </c>
      <c r="M150" s="1442">
        <v>46118</v>
      </c>
      <c r="N150" t="s">
        <v>84</v>
      </c>
      <c r="O150" s="1442">
        <v>46132</v>
      </c>
      <c r="P150" s="1442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1442">
        <v>46045</v>
      </c>
      <c r="K151" s="1442">
        <v>46096</v>
      </c>
      <c r="L151" s="1442">
        <v>46111</v>
      </c>
      <c r="M151" s="1442">
        <v>46116</v>
      </c>
      <c r="N151" t="s">
        <v>84</v>
      </c>
      <c r="O151" s="1442">
        <v>46129</v>
      </c>
      <c r="P151" s="1442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1442">
        <v>46041</v>
      </c>
      <c r="K152" s="1442">
        <v>46090</v>
      </c>
      <c r="L152" s="1442">
        <v>46111</v>
      </c>
      <c r="M152" s="1442">
        <v>46111</v>
      </c>
      <c r="N152" t="s">
        <v>84</v>
      </c>
      <c r="O152" s="1442">
        <v>46125</v>
      </c>
      <c r="P152" s="1442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1442">
        <v>46021</v>
      </c>
      <c r="K153" s="1442">
        <v>46075</v>
      </c>
      <c r="L153" s="1442">
        <v>46111</v>
      </c>
      <c r="M153" s="1442">
        <v>46111</v>
      </c>
      <c r="N153" t="s">
        <v>84</v>
      </c>
      <c r="O153" s="1442">
        <v>46125</v>
      </c>
      <c r="P153" s="1442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1442">
        <v>46031</v>
      </c>
      <c r="K154" s="1442">
        <v>46080</v>
      </c>
      <c r="L154" s="1442">
        <v>46111</v>
      </c>
      <c r="M154" s="1442">
        <v>46111</v>
      </c>
      <c r="N154" t="s">
        <v>84</v>
      </c>
      <c r="O154" s="1442">
        <v>46125</v>
      </c>
      <c r="P154" s="1442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1442">
        <v>46014</v>
      </c>
      <c r="K155" s="1442">
        <v>46073</v>
      </c>
      <c r="L155" s="1442">
        <v>46090</v>
      </c>
      <c r="M155" s="1442">
        <v>46090</v>
      </c>
      <c r="N155" t="s">
        <v>84</v>
      </c>
      <c r="O155" s="1442">
        <v>46104</v>
      </c>
      <c r="P155" s="1442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1442">
        <v>46009</v>
      </c>
      <c r="K156" s="1442">
        <v>46061</v>
      </c>
      <c r="L156" s="1442">
        <v>46111</v>
      </c>
      <c r="M156" s="1442">
        <v>46111</v>
      </c>
      <c r="N156" t="s">
        <v>84</v>
      </c>
      <c r="O156" s="1442">
        <v>46125</v>
      </c>
      <c r="P156" s="1442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1442">
        <v>46017</v>
      </c>
      <c r="K157" s="1442">
        <v>46078</v>
      </c>
      <c r="L157" s="1442">
        <v>46111</v>
      </c>
      <c r="M157" s="1442">
        <v>46111</v>
      </c>
      <c r="N157" t="s">
        <v>84</v>
      </c>
      <c r="O157" s="1442">
        <v>46125</v>
      </c>
      <c r="P157" s="1442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1442">
        <v>46031</v>
      </c>
      <c r="K158" s="1442">
        <v>46078</v>
      </c>
      <c r="L158" s="1442">
        <v>46083</v>
      </c>
      <c r="M158" s="1442">
        <v>46084</v>
      </c>
      <c r="N158" t="s">
        <v>84</v>
      </c>
      <c r="O158" s="1442">
        <v>46097</v>
      </c>
      <c r="P158" s="1442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1442">
        <v>46027</v>
      </c>
      <c r="K159" s="1442">
        <v>46073</v>
      </c>
      <c r="L159" s="1442">
        <v>46098</v>
      </c>
      <c r="M159" s="1442">
        <v>46099</v>
      </c>
      <c r="N159" t="s">
        <v>84</v>
      </c>
      <c r="O159" s="1442">
        <v>46112</v>
      </c>
      <c r="P159" s="1442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1442">
        <v>46027</v>
      </c>
      <c r="K160" s="1442">
        <v>46073</v>
      </c>
      <c r="L160" s="1442">
        <v>46098</v>
      </c>
      <c r="M160" s="1442">
        <v>46099</v>
      </c>
      <c r="N160" t="s">
        <v>84</v>
      </c>
      <c r="O160" s="1442">
        <v>46112</v>
      </c>
      <c r="P160" s="1442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1442">
        <v>46020</v>
      </c>
      <c r="K161" s="1442">
        <v>46064</v>
      </c>
      <c r="L161" s="1442">
        <v>46098</v>
      </c>
      <c r="M161" s="1442">
        <v>46099</v>
      </c>
      <c r="N161" t="s">
        <v>84</v>
      </c>
      <c r="O161" s="1442">
        <v>46112</v>
      </c>
      <c r="P161" s="1442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1442">
        <v>46070</v>
      </c>
      <c r="K162" s="1442">
        <v>46120</v>
      </c>
      <c r="L162" s="1442">
        <v>46126</v>
      </c>
      <c r="M162" s="1442">
        <v>46125</v>
      </c>
      <c r="N162" t="s">
        <v>973</v>
      </c>
      <c r="O162" s="1442">
        <v>46134</v>
      </c>
      <c r="P162" s="1442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1442">
        <v>46070</v>
      </c>
      <c r="K163" s="1442">
        <v>46120</v>
      </c>
      <c r="L163" s="1442">
        <v>46126</v>
      </c>
      <c r="M163" s="1442">
        <v>46125</v>
      </c>
      <c r="N163" t="s">
        <v>973</v>
      </c>
      <c r="O163" s="1442">
        <v>46134</v>
      </c>
      <c r="P163" s="1442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1442">
        <v>46070</v>
      </c>
      <c r="K164" s="1442">
        <v>46120</v>
      </c>
      <c r="L164" s="1442">
        <v>46126</v>
      </c>
      <c r="M164" s="1442">
        <v>46125</v>
      </c>
      <c r="N164" t="s">
        <v>973</v>
      </c>
      <c r="O164" s="1442">
        <v>46134</v>
      </c>
      <c r="P164" s="1442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1442">
        <v>46070</v>
      </c>
      <c r="K165" s="1442">
        <v>46109</v>
      </c>
      <c r="L165" s="1442">
        <v>46133</v>
      </c>
      <c r="M165" s="1442">
        <v>46133</v>
      </c>
      <c r="N165" t="s">
        <v>973</v>
      </c>
      <c r="O165" s="1442">
        <v>46147</v>
      </c>
      <c r="P165" s="1442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1442">
        <v>46070</v>
      </c>
      <c r="K166" s="1442">
        <v>46109</v>
      </c>
      <c r="L166" s="1442">
        <v>46126</v>
      </c>
      <c r="M166" s="1442">
        <v>46127</v>
      </c>
      <c r="N166" t="s">
        <v>973</v>
      </c>
      <c r="O166" s="1442">
        <v>46134</v>
      </c>
      <c r="P166" s="1442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1442">
        <v>46070</v>
      </c>
      <c r="K167" s="1442">
        <v>46120</v>
      </c>
      <c r="L167" s="1442">
        <v>46126</v>
      </c>
      <c r="M167" s="1442">
        <v>46125</v>
      </c>
      <c r="N167" t="s">
        <v>973</v>
      </c>
      <c r="O167" s="1442">
        <v>46134</v>
      </c>
      <c r="P167" s="1442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1442">
        <v>46045</v>
      </c>
      <c r="K168" s="1442">
        <v>46092</v>
      </c>
      <c r="L168" s="1442">
        <v>46111</v>
      </c>
      <c r="M168" s="1442">
        <v>46111</v>
      </c>
      <c r="N168" t="s">
        <v>84</v>
      </c>
      <c r="O168" s="1442">
        <v>46120</v>
      </c>
      <c r="P168" s="1442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1442">
        <v>46068</v>
      </c>
      <c r="K169" s="1442">
        <v>46095</v>
      </c>
      <c r="L169" s="1442">
        <v>46112</v>
      </c>
      <c r="M169" s="1442">
        <v>46115</v>
      </c>
      <c r="N169" t="s">
        <v>84</v>
      </c>
      <c r="O169" s="1442">
        <v>46127</v>
      </c>
      <c r="P169" s="1442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1442">
        <v>46067</v>
      </c>
      <c r="K170" s="1442">
        <v>46108</v>
      </c>
      <c r="L170" s="1442">
        <v>46133</v>
      </c>
      <c r="M170" s="1442">
        <v>46133</v>
      </c>
      <c r="N170" t="s">
        <v>973</v>
      </c>
      <c r="O170" s="1442">
        <v>46147</v>
      </c>
      <c r="P170" s="1442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1442">
        <v>46045</v>
      </c>
      <c r="K171" s="1442">
        <v>46092</v>
      </c>
      <c r="L171" s="1442">
        <v>46111</v>
      </c>
      <c r="M171" s="1442">
        <v>46111</v>
      </c>
      <c r="N171" t="s">
        <v>84</v>
      </c>
      <c r="O171" s="1442">
        <v>46120</v>
      </c>
      <c r="P171" s="1442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1442">
        <v>46045</v>
      </c>
      <c r="K172" s="1442">
        <v>46092</v>
      </c>
      <c r="L172" s="1442">
        <v>46111</v>
      </c>
      <c r="M172" s="1442">
        <v>46111</v>
      </c>
      <c r="N172" t="s">
        <v>84</v>
      </c>
      <c r="O172" s="1442">
        <v>46120</v>
      </c>
      <c r="P172" s="1442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1442">
        <v>46067</v>
      </c>
      <c r="K173" s="1442">
        <v>46108</v>
      </c>
      <c r="L173" s="1442">
        <v>46133</v>
      </c>
      <c r="M173" s="1442">
        <v>46133</v>
      </c>
      <c r="N173" t="s">
        <v>84</v>
      </c>
      <c r="O173" s="1442">
        <v>46147</v>
      </c>
      <c r="P173" s="1442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1442">
        <v>46042</v>
      </c>
      <c r="K174" s="1442">
        <v>46085</v>
      </c>
      <c r="L174" s="1442">
        <v>46101</v>
      </c>
      <c r="M174" s="1442">
        <v>46102</v>
      </c>
      <c r="N174" t="s">
        <v>84</v>
      </c>
      <c r="O174" s="1442">
        <v>46115</v>
      </c>
      <c r="P174" s="1442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1442">
        <v>46042</v>
      </c>
      <c r="K175" s="1442">
        <v>46085</v>
      </c>
      <c r="L175" s="1442">
        <v>46101</v>
      </c>
      <c r="M175" s="1442">
        <v>46102</v>
      </c>
      <c r="N175" t="s">
        <v>84</v>
      </c>
      <c r="O175" s="1442">
        <v>46115</v>
      </c>
      <c r="P175" s="1442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1442">
        <v>46042</v>
      </c>
      <c r="K176" s="1442">
        <v>46085</v>
      </c>
      <c r="L176" s="1442">
        <v>46101</v>
      </c>
      <c r="M176" s="1442">
        <v>46102</v>
      </c>
      <c r="N176" t="s">
        <v>84</v>
      </c>
      <c r="O176" s="1442">
        <v>46115</v>
      </c>
      <c r="P176" s="1442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1442">
        <v>46080</v>
      </c>
      <c r="K177" s="1442">
        <v>46139</v>
      </c>
      <c r="L177" s="1442">
        <v>46141</v>
      </c>
      <c r="M177" s="1442">
        <v>46137</v>
      </c>
      <c r="N177" t="s">
        <v>84</v>
      </c>
      <c r="O177" s="1442">
        <v>46150</v>
      </c>
      <c r="P177" s="1442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1442">
        <v>46080</v>
      </c>
      <c r="K178" s="1442">
        <v>46139</v>
      </c>
      <c r="L178" s="1442">
        <v>46141</v>
      </c>
      <c r="M178" s="1442">
        <v>46137</v>
      </c>
      <c r="N178" t="s">
        <v>84</v>
      </c>
      <c r="O178" s="1442">
        <v>46150</v>
      </c>
      <c r="P178" s="1442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1442">
        <v>46080</v>
      </c>
      <c r="K179" s="1442">
        <v>46139</v>
      </c>
      <c r="L179" s="1442">
        <v>46141</v>
      </c>
      <c r="M179" s="1442">
        <v>46137</v>
      </c>
      <c r="N179" t="s">
        <v>84</v>
      </c>
      <c r="O179" s="1442">
        <v>46150</v>
      </c>
      <c r="P179" s="1442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1442">
        <v>46080</v>
      </c>
      <c r="K180" s="1442">
        <v>46141</v>
      </c>
      <c r="L180" s="1442">
        <v>46148</v>
      </c>
      <c r="M180" s="1442">
        <v>46147</v>
      </c>
      <c r="N180" t="s">
        <v>973</v>
      </c>
      <c r="O180" s="1442">
        <v>46155</v>
      </c>
      <c r="P180" s="1442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1442">
        <v>46069</v>
      </c>
      <c r="K181" s="1442">
        <v>46121</v>
      </c>
      <c r="L181" s="1442">
        <v>46123</v>
      </c>
      <c r="M181" s="1442">
        <v>46127</v>
      </c>
      <c r="N181" t="s">
        <v>84</v>
      </c>
      <c r="O181" s="1442">
        <v>46135</v>
      </c>
      <c r="P181" s="1442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1442">
        <v>46080</v>
      </c>
      <c r="K182" s="1442">
        <v>46141</v>
      </c>
      <c r="L182" s="1442">
        <v>46148</v>
      </c>
      <c r="M182" s="1442">
        <v>46147</v>
      </c>
      <c r="N182" t="s">
        <v>973</v>
      </c>
      <c r="O182" s="1442">
        <v>46155</v>
      </c>
      <c r="P182" s="1442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1442">
        <v>46071</v>
      </c>
      <c r="K183" s="1442">
        <v>46119</v>
      </c>
      <c r="L183" s="1442">
        <v>46125</v>
      </c>
      <c r="M183" s="1442">
        <v>46125</v>
      </c>
      <c r="N183" t="s">
        <v>84</v>
      </c>
      <c r="O183" s="1442">
        <v>46133</v>
      </c>
      <c r="P183" s="1442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1442">
        <v>46070</v>
      </c>
      <c r="K184" s="1442">
        <v>46110</v>
      </c>
      <c r="L184" s="1442">
        <v>46124</v>
      </c>
      <c r="M184" s="1442">
        <v>46124</v>
      </c>
      <c r="N184" t="s">
        <v>973</v>
      </c>
      <c r="O184" s="1442">
        <v>46132</v>
      </c>
      <c r="P184" s="1442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1442">
        <v>46071</v>
      </c>
      <c r="K185" s="1442">
        <v>46106</v>
      </c>
      <c r="L185" s="1442">
        <v>46114</v>
      </c>
      <c r="M185" s="1442">
        <v>46116</v>
      </c>
      <c r="N185" t="s">
        <v>973</v>
      </c>
      <c r="O185" s="1442">
        <v>46126</v>
      </c>
      <c r="P185" s="1442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1442">
        <v>46067</v>
      </c>
      <c r="K186" s="1442">
        <v>46108</v>
      </c>
      <c r="L186" s="1442">
        <v>46133</v>
      </c>
      <c r="M186" s="1442">
        <v>46133</v>
      </c>
      <c r="N186" t="s">
        <v>973</v>
      </c>
      <c r="O186" s="1442">
        <v>46147</v>
      </c>
      <c r="P186" s="1442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1442">
        <v>46070</v>
      </c>
      <c r="K187" s="1442">
        <v>46131</v>
      </c>
      <c r="L187" s="1442">
        <v>46138</v>
      </c>
      <c r="M187" s="1442">
        <v>46139</v>
      </c>
      <c r="N187" t="s">
        <v>973</v>
      </c>
      <c r="O187" s="1442">
        <v>46153</v>
      </c>
      <c r="P187" s="1442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1442">
        <v>46070</v>
      </c>
      <c r="K188" s="1442">
        <v>46131</v>
      </c>
      <c r="L188" s="1442">
        <v>46138</v>
      </c>
      <c r="M188" s="1442">
        <v>46139</v>
      </c>
      <c r="N188" t="s">
        <v>973</v>
      </c>
      <c r="O188" s="1442">
        <v>46153</v>
      </c>
      <c r="P188" s="1442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1442">
        <v>46070</v>
      </c>
      <c r="K189" s="1442">
        <v>46146</v>
      </c>
      <c r="L189" s="1442">
        <v>46153</v>
      </c>
      <c r="M189" s="1442">
        <v>46159</v>
      </c>
      <c r="N189" t="s">
        <v>84</v>
      </c>
      <c r="O189" s="1442">
        <v>46171</v>
      </c>
      <c r="P189" s="1442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1442">
        <v>46070</v>
      </c>
      <c r="K190" s="1442">
        <v>46146</v>
      </c>
      <c r="L190" s="1442">
        <v>46153</v>
      </c>
      <c r="M190" s="1442">
        <v>46159</v>
      </c>
      <c r="N190" t="s">
        <v>84</v>
      </c>
      <c r="O190" s="1442">
        <v>46171</v>
      </c>
      <c r="P190" s="1442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1442">
        <v>46055</v>
      </c>
      <c r="K191" s="1442">
        <v>46099</v>
      </c>
      <c r="L191" s="1442">
        <v>46112</v>
      </c>
      <c r="M191" s="1442">
        <v>46120</v>
      </c>
      <c r="N191" t="s">
        <v>84</v>
      </c>
      <c r="O191" s="1442">
        <v>46132</v>
      </c>
      <c r="P191" s="1442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1442">
        <v>46045</v>
      </c>
      <c r="K192" s="1442">
        <v>46092</v>
      </c>
      <c r="L192" s="1442">
        <v>46111</v>
      </c>
      <c r="M192" s="1442">
        <v>46111</v>
      </c>
      <c r="N192" t="s">
        <v>84</v>
      </c>
      <c r="O192" s="1442">
        <v>46120</v>
      </c>
      <c r="P192" s="1442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1442">
        <v>46076</v>
      </c>
      <c r="K193" s="1442">
        <v>46125</v>
      </c>
      <c r="L193" s="1442">
        <v>46136</v>
      </c>
      <c r="M193" s="1442">
        <v>46137</v>
      </c>
      <c r="N193" t="s">
        <v>973</v>
      </c>
      <c r="O193" s="1442">
        <v>46150</v>
      </c>
      <c r="P193" s="1442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1442">
        <v>46045</v>
      </c>
      <c r="K194" s="1442">
        <v>46092</v>
      </c>
      <c r="L194" s="1442">
        <v>46111</v>
      </c>
      <c r="M194" s="1442">
        <v>46111</v>
      </c>
      <c r="N194" t="s">
        <v>84</v>
      </c>
      <c r="O194" s="1442">
        <v>46120</v>
      </c>
      <c r="P194" s="1442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1442">
        <v>46076</v>
      </c>
      <c r="K195" s="1442">
        <v>46117</v>
      </c>
      <c r="L195" s="1442">
        <v>46124</v>
      </c>
      <c r="M195" s="1442">
        <v>46124</v>
      </c>
      <c r="N195" t="s">
        <v>973</v>
      </c>
      <c r="O195" s="1442">
        <v>46139</v>
      </c>
      <c r="P195" s="1442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1442">
        <v>46076</v>
      </c>
      <c r="K196" s="1442">
        <v>46117</v>
      </c>
      <c r="L196" s="1442">
        <v>46124</v>
      </c>
      <c r="M196" s="1442">
        <v>46124</v>
      </c>
      <c r="N196" t="s">
        <v>973</v>
      </c>
      <c r="O196" s="1442">
        <v>46132</v>
      </c>
      <c r="P196" s="1442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1442">
        <v>46076</v>
      </c>
      <c r="K197" s="1442">
        <v>46113</v>
      </c>
      <c r="L197" s="1442">
        <v>46122</v>
      </c>
      <c r="M197" s="1442">
        <v>46122</v>
      </c>
      <c r="N197" t="s">
        <v>973</v>
      </c>
      <c r="O197" s="1442">
        <v>46132</v>
      </c>
      <c r="P197" s="1442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1442">
        <v>46076</v>
      </c>
      <c r="K198" s="1442">
        <v>46113</v>
      </c>
      <c r="L198" s="1442">
        <v>46122</v>
      </c>
      <c r="M198" s="1442">
        <v>46122</v>
      </c>
      <c r="N198" t="s">
        <v>973</v>
      </c>
      <c r="O198" s="1442">
        <v>46132</v>
      </c>
      <c r="P198" s="1442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1442">
        <v>46076</v>
      </c>
      <c r="K199" s="1442">
        <v>46113</v>
      </c>
      <c r="L199" s="1442">
        <v>46122</v>
      </c>
      <c r="M199" s="1442">
        <v>46122</v>
      </c>
      <c r="N199" t="s">
        <v>973</v>
      </c>
      <c r="O199" s="1442">
        <v>46132</v>
      </c>
      <c r="P199" s="1442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1442">
        <v>46076</v>
      </c>
      <c r="K200" s="1442">
        <v>46113</v>
      </c>
      <c r="L200" s="1442">
        <v>46122</v>
      </c>
      <c r="M200" s="1442">
        <v>46122</v>
      </c>
      <c r="N200" t="s">
        <v>973</v>
      </c>
      <c r="O200" s="1442">
        <v>46132</v>
      </c>
      <c r="P200" s="1442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1442">
        <v>46076</v>
      </c>
      <c r="K201" s="1442">
        <v>46113</v>
      </c>
      <c r="L201" s="1442">
        <v>46122</v>
      </c>
      <c r="M201" s="1442">
        <v>46122</v>
      </c>
      <c r="N201" t="s">
        <v>973</v>
      </c>
      <c r="O201" s="1442">
        <v>46132</v>
      </c>
      <c r="P201" s="1442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1442">
        <v>46076</v>
      </c>
      <c r="K202" s="1442">
        <v>46128</v>
      </c>
      <c r="L202" s="1442">
        <v>46134</v>
      </c>
      <c r="M202" s="1442">
        <v>46134</v>
      </c>
      <c r="N202" t="s">
        <v>973</v>
      </c>
      <c r="O202" s="1442">
        <v>46142</v>
      </c>
      <c r="P202" s="1442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1442">
        <v>46076</v>
      </c>
      <c r="K203" s="1442">
        <v>46128</v>
      </c>
      <c r="L203" s="1442">
        <v>46134</v>
      </c>
      <c r="M203" s="1442">
        <v>46134</v>
      </c>
      <c r="N203" t="s">
        <v>973</v>
      </c>
      <c r="O203" s="1442">
        <v>46142</v>
      </c>
      <c r="P203" s="1442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1442">
        <v>46084</v>
      </c>
      <c r="K204" s="1442">
        <v>46160</v>
      </c>
      <c r="L204" s="1442">
        <v>46169</v>
      </c>
      <c r="M204" s="1442">
        <v>46165</v>
      </c>
      <c r="N204" t="s">
        <v>84</v>
      </c>
      <c r="O204" s="1442">
        <v>46181</v>
      </c>
      <c r="P204" s="1442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1442">
        <v>46083</v>
      </c>
      <c r="K205" s="1442">
        <v>46133</v>
      </c>
      <c r="L205" s="1442">
        <v>46139</v>
      </c>
      <c r="M205" s="1442">
        <v>46140</v>
      </c>
      <c r="N205" t="s">
        <v>973</v>
      </c>
      <c r="O205" s="1442">
        <v>46153</v>
      </c>
      <c r="P205" s="1442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1442">
        <v>46083</v>
      </c>
      <c r="K206" s="1442">
        <v>46133</v>
      </c>
      <c r="L206" s="1442">
        <v>46139</v>
      </c>
      <c r="M206" s="1442">
        <v>46140</v>
      </c>
      <c r="N206" t="s">
        <v>973</v>
      </c>
      <c r="O206" s="1442">
        <v>46153</v>
      </c>
      <c r="P206" s="1442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1442">
        <v>46083</v>
      </c>
      <c r="K207" s="1442">
        <v>46133</v>
      </c>
      <c r="L207" s="1442">
        <v>46139</v>
      </c>
      <c r="M207" s="1442">
        <v>46140</v>
      </c>
      <c r="N207" t="s">
        <v>973</v>
      </c>
      <c r="O207" s="1442">
        <v>46153</v>
      </c>
      <c r="P207" s="1442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1442">
        <v>46083</v>
      </c>
      <c r="K208" s="1442">
        <v>46133</v>
      </c>
      <c r="L208" s="1442">
        <v>46139</v>
      </c>
      <c r="M208" s="1442">
        <v>46140</v>
      </c>
      <c r="N208" t="s">
        <v>973</v>
      </c>
      <c r="O208" s="1442">
        <v>46153</v>
      </c>
      <c r="P208" s="1442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1442">
        <v>46084</v>
      </c>
      <c r="K209" s="1442">
        <v>46126</v>
      </c>
      <c r="L209" s="1442">
        <v>46142</v>
      </c>
      <c r="M209" s="1442">
        <v>46141</v>
      </c>
      <c r="N209" t="s">
        <v>973</v>
      </c>
      <c r="O209" s="1442">
        <v>46163</v>
      </c>
      <c r="P209" s="1442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1442">
        <v>46084</v>
      </c>
      <c r="K210" s="1442">
        <v>46126</v>
      </c>
      <c r="L210" s="1442">
        <v>46142</v>
      </c>
      <c r="M210" s="1442">
        <v>46141</v>
      </c>
      <c r="N210" t="s">
        <v>973</v>
      </c>
      <c r="O210" s="1442">
        <v>46140</v>
      </c>
      <c r="P210" s="1442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1442">
        <v>46084</v>
      </c>
      <c r="K211" s="1442">
        <v>46126</v>
      </c>
      <c r="L211" s="1442">
        <v>46142</v>
      </c>
      <c r="M211" s="1442">
        <v>46142</v>
      </c>
      <c r="N211" t="s">
        <v>973</v>
      </c>
      <c r="O211" s="1442">
        <v>46163</v>
      </c>
      <c r="P211" s="1442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1442">
        <v>46088</v>
      </c>
      <c r="K212" s="1442">
        <v>46154</v>
      </c>
      <c r="L212" s="1442">
        <v>46168</v>
      </c>
      <c r="M212" s="1442">
        <v>46164</v>
      </c>
      <c r="N212" t="s">
        <v>973</v>
      </c>
      <c r="O212" s="1442">
        <v>46168</v>
      </c>
      <c r="P212" s="1442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1442">
        <v>46088</v>
      </c>
      <c r="K213" s="1442">
        <v>46154</v>
      </c>
      <c r="L213" s="1442">
        <v>46168</v>
      </c>
      <c r="M213" s="1442">
        <v>46164</v>
      </c>
      <c r="N213" t="s">
        <v>973</v>
      </c>
      <c r="O213" s="1442">
        <v>46168</v>
      </c>
      <c r="P213" s="1442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1442">
        <v>46088</v>
      </c>
      <c r="K214" s="1442">
        <v>46154</v>
      </c>
      <c r="L214" s="1442">
        <v>46168</v>
      </c>
      <c r="M214" s="1442">
        <v>46164</v>
      </c>
      <c r="N214" t="s">
        <v>973</v>
      </c>
      <c r="O214" s="1442">
        <v>46168</v>
      </c>
      <c r="P214" s="1442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1442">
        <v>46088</v>
      </c>
      <c r="K215" s="1442">
        <v>46154</v>
      </c>
      <c r="L215" s="1442">
        <v>46168</v>
      </c>
      <c r="M215" s="1442">
        <v>46164</v>
      </c>
      <c r="N215" t="s">
        <v>973</v>
      </c>
      <c r="O215" s="1442">
        <v>46168</v>
      </c>
      <c r="P215" s="1442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1442">
        <v>46088</v>
      </c>
      <c r="K216" s="1442">
        <v>46154</v>
      </c>
      <c r="L216" s="1442">
        <v>46168</v>
      </c>
      <c r="M216" s="1442">
        <v>46164</v>
      </c>
      <c r="N216" t="s">
        <v>973</v>
      </c>
      <c r="O216" s="1442">
        <v>46168</v>
      </c>
      <c r="P216" s="1442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1442">
        <v>46088</v>
      </c>
      <c r="K217" s="1442">
        <v>46154</v>
      </c>
      <c r="L217" s="1442">
        <v>46168</v>
      </c>
      <c r="M217" s="1442">
        <v>46164</v>
      </c>
      <c r="N217" t="s">
        <v>973</v>
      </c>
      <c r="O217" s="1442">
        <v>46168</v>
      </c>
      <c r="P217" s="1442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1442">
        <v>46088</v>
      </c>
      <c r="K218" s="1442">
        <v>46154</v>
      </c>
      <c r="L218" s="1442">
        <v>46168</v>
      </c>
      <c r="M218" s="1442">
        <v>46164</v>
      </c>
      <c r="N218" t="s">
        <v>973</v>
      </c>
      <c r="O218" s="1442">
        <v>46168</v>
      </c>
      <c r="P218" s="1442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1442">
        <v>46088</v>
      </c>
      <c r="K219" s="1442">
        <v>46154</v>
      </c>
      <c r="L219" s="1442">
        <v>46168</v>
      </c>
      <c r="M219" s="1442">
        <v>46164</v>
      </c>
      <c r="N219" t="s">
        <v>973</v>
      </c>
      <c r="O219" s="1442">
        <v>46168</v>
      </c>
      <c r="P219" s="1442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1442">
        <v>46089</v>
      </c>
      <c r="K220" s="1442">
        <v>46126</v>
      </c>
      <c r="L220" s="1442">
        <v>46126</v>
      </c>
      <c r="M220" s="1442">
        <v>46124</v>
      </c>
      <c r="N220" t="s">
        <v>973</v>
      </c>
      <c r="O220" s="1442">
        <v>46133</v>
      </c>
      <c r="P220" s="1442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1442">
        <v>46089</v>
      </c>
      <c r="K221" s="1442">
        <v>46126</v>
      </c>
      <c r="L221" s="1442">
        <v>46126</v>
      </c>
      <c r="M221" s="1442">
        <v>46124</v>
      </c>
      <c r="N221" t="s">
        <v>84</v>
      </c>
      <c r="O221" s="1442">
        <v>46133</v>
      </c>
      <c r="P221" s="1442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1442">
        <v>46089</v>
      </c>
      <c r="K222" s="1442">
        <v>46126</v>
      </c>
      <c r="L222" s="1442">
        <v>46126</v>
      </c>
      <c r="M222" s="1442">
        <v>46124</v>
      </c>
      <c r="N222" t="s">
        <v>84</v>
      </c>
      <c r="O222" s="1442">
        <v>46139</v>
      </c>
      <c r="P222" s="1442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1442">
        <v>46083</v>
      </c>
      <c r="K223" s="1442">
        <v>46124</v>
      </c>
      <c r="L223" s="1442">
        <v>46131</v>
      </c>
      <c r="M223" s="1442">
        <v>46131</v>
      </c>
      <c r="N223" t="s">
        <v>973</v>
      </c>
      <c r="O223" s="1442">
        <v>46146</v>
      </c>
      <c r="P223" s="1442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1442">
        <v>46088</v>
      </c>
      <c r="K224" s="1442">
        <v>46122</v>
      </c>
      <c r="L224" s="1442">
        <v>46141</v>
      </c>
      <c r="M224" s="1442">
        <v>46137</v>
      </c>
      <c r="N224" t="s">
        <v>973</v>
      </c>
      <c r="O224" s="1442">
        <v>46150</v>
      </c>
      <c r="P224" s="1442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1442">
        <v>46088</v>
      </c>
      <c r="K225" s="1442">
        <v>46122</v>
      </c>
      <c r="L225" s="1442">
        <v>46141</v>
      </c>
      <c r="M225" s="1442">
        <v>46137</v>
      </c>
      <c r="N225" t="s">
        <v>973</v>
      </c>
      <c r="O225" s="1442">
        <v>46150</v>
      </c>
      <c r="P225" s="1442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1442">
        <v>46088</v>
      </c>
      <c r="K226" s="1442">
        <v>46122</v>
      </c>
      <c r="L226" s="1442">
        <v>46141</v>
      </c>
      <c r="M226" s="1442">
        <v>46137</v>
      </c>
      <c r="N226" t="s">
        <v>973</v>
      </c>
      <c r="O226" s="1442">
        <v>46150</v>
      </c>
      <c r="P226" s="1442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1442">
        <v>46079</v>
      </c>
      <c r="K227" s="1442">
        <v>46132</v>
      </c>
      <c r="L227" s="1442">
        <v>46135</v>
      </c>
      <c r="M227" s="1442">
        <v>46135</v>
      </c>
      <c r="N227" t="s">
        <v>973</v>
      </c>
      <c r="O227" s="1442">
        <v>46149</v>
      </c>
      <c r="P227" s="1442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1442">
        <v>46091</v>
      </c>
      <c r="K228" s="1442">
        <v>46126</v>
      </c>
      <c r="L228" s="1442">
        <v>46142</v>
      </c>
      <c r="M228" s="1442">
        <v>46141</v>
      </c>
      <c r="N228" t="s">
        <v>84</v>
      </c>
      <c r="O228" s="1442">
        <v>46163</v>
      </c>
      <c r="P228" s="1442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1442">
        <v>46091</v>
      </c>
      <c r="K229" s="1442">
        <v>46126</v>
      </c>
      <c r="L229" s="1442">
        <v>46142</v>
      </c>
      <c r="M229" s="1442">
        <v>46141</v>
      </c>
      <c r="N229" t="s">
        <v>84</v>
      </c>
      <c r="O229" s="1442">
        <v>46163</v>
      </c>
      <c r="P229" s="1442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1442">
        <v>46088</v>
      </c>
      <c r="K230" s="1442">
        <v>46148</v>
      </c>
      <c r="L230" s="1442">
        <v>46169</v>
      </c>
      <c r="M230" s="1442">
        <v>46169</v>
      </c>
      <c r="N230" t="s">
        <v>84</v>
      </c>
      <c r="O230" s="1442">
        <v>46162</v>
      </c>
      <c r="P230" s="1442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1442">
        <v>46088</v>
      </c>
      <c r="K231" s="1442">
        <v>46153</v>
      </c>
      <c r="L231" s="1442">
        <v>46184</v>
      </c>
      <c r="M231" s="1442">
        <v>46184</v>
      </c>
      <c r="N231" t="s">
        <v>973</v>
      </c>
      <c r="O231" s="1442">
        <v>46199</v>
      </c>
      <c r="P231" s="1442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1442">
        <v>46088</v>
      </c>
      <c r="K232" s="1442">
        <v>46133</v>
      </c>
      <c r="L232" s="1442">
        <v>46142</v>
      </c>
      <c r="M232" s="1442">
        <v>46141</v>
      </c>
      <c r="N232" t="s">
        <v>973</v>
      </c>
      <c r="O232" s="1442">
        <v>46163</v>
      </c>
      <c r="P232" s="1442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1442">
        <v>46088</v>
      </c>
      <c r="K233" s="1442">
        <v>46133</v>
      </c>
      <c r="L233" s="1442">
        <v>46142</v>
      </c>
      <c r="M233" s="1442">
        <v>46141</v>
      </c>
      <c r="N233" t="s">
        <v>973</v>
      </c>
      <c r="O233" s="1442">
        <v>46163</v>
      </c>
      <c r="P233" s="1442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1442">
        <v>46088</v>
      </c>
      <c r="K234" s="1442">
        <v>46133</v>
      </c>
      <c r="L234" s="1442">
        <v>46142</v>
      </c>
      <c r="M234" s="1442">
        <v>46141</v>
      </c>
      <c r="N234" t="s">
        <v>973</v>
      </c>
      <c r="O234" s="1442">
        <v>46163</v>
      </c>
      <c r="P234" s="1442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1442">
        <v>46088</v>
      </c>
      <c r="K235" s="1442">
        <v>46133</v>
      </c>
      <c r="L235" s="1442">
        <v>46142</v>
      </c>
      <c r="M235" s="1442">
        <v>46141</v>
      </c>
      <c r="N235" t="s">
        <v>973</v>
      </c>
      <c r="O235" s="1442">
        <v>46163</v>
      </c>
      <c r="P235" s="1442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1442">
        <v>46088</v>
      </c>
      <c r="K236" s="1442">
        <v>46133</v>
      </c>
      <c r="L236" s="1442">
        <v>46142</v>
      </c>
      <c r="M236" s="1442">
        <v>46141</v>
      </c>
      <c r="N236" t="s">
        <v>973</v>
      </c>
      <c r="O236" s="1442">
        <v>46163</v>
      </c>
      <c r="P236" s="1442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1442">
        <v>46088</v>
      </c>
      <c r="K237" s="1442">
        <v>46141</v>
      </c>
      <c r="L237" s="1442">
        <v>46142</v>
      </c>
      <c r="M237" s="1442">
        <v>46141</v>
      </c>
      <c r="N237" t="s">
        <v>973</v>
      </c>
      <c r="O237" s="1442">
        <v>46163</v>
      </c>
      <c r="P237" s="1442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1442">
        <v>46091</v>
      </c>
      <c r="K238" s="1442">
        <v>46122</v>
      </c>
      <c r="L238" s="1442">
        <v>46141</v>
      </c>
      <c r="M238" s="1442">
        <v>46137</v>
      </c>
      <c r="N238" t="s">
        <v>973</v>
      </c>
      <c r="O238" s="1442">
        <v>46150</v>
      </c>
      <c r="P238" s="1442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1442">
        <v>46091</v>
      </c>
      <c r="K239" s="1442">
        <v>46122</v>
      </c>
      <c r="L239" s="1442">
        <v>46141</v>
      </c>
      <c r="M239" s="1442">
        <v>46137</v>
      </c>
      <c r="N239" t="s">
        <v>973</v>
      </c>
      <c r="O239" s="1442">
        <v>46150</v>
      </c>
      <c r="P239" s="1442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1442">
        <v>46091</v>
      </c>
      <c r="K240" s="1442">
        <v>46122</v>
      </c>
      <c r="L240" s="1442">
        <v>46141</v>
      </c>
      <c r="M240" s="1442">
        <v>46137</v>
      </c>
      <c r="N240" t="s">
        <v>973</v>
      </c>
      <c r="O240" s="1442">
        <v>46150</v>
      </c>
      <c r="P240" s="1442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1442">
        <v>46091</v>
      </c>
      <c r="K241" s="1442">
        <v>46122</v>
      </c>
      <c r="L241" s="1442">
        <v>46141</v>
      </c>
      <c r="M241" s="1442">
        <v>46137</v>
      </c>
      <c r="N241" t="s">
        <v>973</v>
      </c>
      <c r="O241" s="1442">
        <v>46150</v>
      </c>
      <c r="P241" s="1442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1442">
        <v>46088</v>
      </c>
      <c r="K242" s="1442">
        <v>46138</v>
      </c>
      <c r="L242" s="1442">
        <v>46160</v>
      </c>
      <c r="M242" s="1442">
        <v>46160</v>
      </c>
      <c r="N242" t="s">
        <v>973</v>
      </c>
      <c r="O242" s="1442">
        <v>46174</v>
      </c>
      <c r="P242" s="1442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1442">
        <v>46088</v>
      </c>
      <c r="K243" s="1442">
        <v>46138</v>
      </c>
      <c r="L243" s="1442">
        <v>46160</v>
      </c>
      <c r="M243" s="1442">
        <v>46160</v>
      </c>
      <c r="N243" t="s">
        <v>973</v>
      </c>
      <c r="O243" s="1442">
        <v>46174</v>
      </c>
      <c r="P243" s="1442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1442">
        <v>46088</v>
      </c>
      <c r="K244" s="1442">
        <v>46138</v>
      </c>
      <c r="L244" s="1442">
        <v>46160</v>
      </c>
      <c r="M244" s="1442">
        <v>46160</v>
      </c>
      <c r="N244" t="s">
        <v>973</v>
      </c>
      <c r="O244" s="1442">
        <v>46174</v>
      </c>
      <c r="P244" s="1442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1442">
        <v>46091</v>
      </c>
      <c r="K245" s="1442">
        <v>46126</v>
      </c>
      <c r="L245" s="1442">
        <v>46142</v>
      </c>
      <c r="M245" s="1442">
        <v>46141</v>
      </c>
      <c r="N245" t="s">
        <v>973</v>
      </c>
      <c r="O245" s="1442">
        <v>46163</v>
      </c>
      <c r="P245" s="1442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1442">
        <v>46091</v>
      </c>
      <c r="K246" s="1442">
        <v>46126</v>
      </c>
      <c r="L246" s="1442">
        <v>46142</v>
      </c>
      <c r="M246" s="1442">
        <v>46141</v>
      </c>
      <c r="N246" t="s">
        <v>973</v>
      </c>
      <c r="O246" s="1442">
        <v>46163</v>
      </c>
      <c r="P246" s="1442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1442">
        <v>46091</v>
      </c>
      <c r="K247" s="1442">
        <v>46127</v>
      </c>
      <c r="L247" s="1442">
        <v>46137</v>
      </c>
      <c r="M247" s="1442">
        <v>46137</v>
      </c>
      <c r="N247" t="s">
        <v>973</v>
      </c>
      <c r="O247" s="1442">
        <v>46150</v>
      </c>
      <c r="P247" s="1442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1442">
        <v>46091</v>
      </c>
      <c r="K248" s="1442">
        <v>46140</v>
      </c>
      <c r="L248" s="1442">
        <v>46140</v>
      </c>
      <c r="M248" s="1442">
        <v>46140</v>
      </c>
      <c r="N248" t="s">
        <v>973</v>
      </c>
      <c r="O248" s="1442">
        <v>46153</v>
      </c>
      <c r="P248" s="1442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1442">
        <v>46091</v>
      </c>
      <c r="K249" s="1442">
        <v>46154</v>
      </c>
      <c r="L249" s="1442">
        <v>46161</v>
      </c>
      <c r="M249" s="1442">
        <v>46162</v>
      </c>
      <c r="N249" t="s">
        <v>973</v>
      </c>
      <c r="O249" s="1442">
        <v>46168</v>
      </c>
      <c r="P249" s="1442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1442">
        <v>46091</v>
      </c>
      <c r="K250" s="1442">
        <v>46154</v>
      </c>
      <c r="L250" s="1442">
        <v>46161</v>
      </c>
      <c r="M250" s="1442">
        <v>46162</v>
      </c>
      <c r="N250" t="s">
        <v>973</v>
      </c>
      <c r="O250" s="1442">
        <v>46168</v>
      </c>
      <c r="P250" s="1442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1442">
        <v>46092</v>
      </c>
      <c r="K251" s="1442">
        <v>46138</v>
      </c>
      <c r="L251" s="1442">
        <v>46148</v>
      </c>
      <c r="M251" s="1442">
        <v>46148</v>
      </c>
      <c r="N251" t="s">
        <v>973</v>
      </c>
      <c r="O251" s="1442">
        <v>46162</v>
      </c>
      <c r="P251" s="1442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1442">
        <v>46092</v>
      </c>
      <c r="K252" s="1442">
        <v>46143</v>
      </c>
      <c r="L252" s="1442">
        <v>46144</v>
      </c>
      <c r="M252" s="1442">
        <v>46144</v>
      </c>
      <c r="N252" t="s">
        <v>973</v>
      </c>
      <c r="O252" s="1442">
        <v>46160</v>
      </c>
      <c r="P252" s="1442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1442">
        <v>46094</v>
      </c>
      <c r="K253" s="1442">
        <v>46140</v>
      </c>
      <c r="L253" s="1442">
        <v>46145</v>
      </c>
      <c r="M253" s="1442">
        <v>46148</v>
      </c>
      <c r="N253" t="s">
        <v>973</v>
      </c>
      <c r="O253" s="1442">
        <v>46160</v>
      </c>
      <c r="P253" s="1442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1442">
        <v>46091</v>
      </c>
      <c r="K254" s="1442">
        <v>46126</v>
      </c>
      <c r="L254" s="1442">
        <v>46142</v>
      </c>
      <c r="M254" s="1442">
        <v>46141</v>
      </c>
      <c r="N254" t="s">
        <v>973</v>
      </c>
      <c r="O254" s="1442">
        <v>46163</v>
      </c>
      <c r="P254" s="1442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1442">
        <v>46091</v>
      </c>
      <c r="K255" s="1442">
        <v>46141</v>
      </c>
      <c r="L255" s="1442">
        <v>46140</v>
      </c>
      <c r="M255" s="1442">
        <v>46140</v>
      </c>
      <c r="N255" t="s">
        <v>973</v>
      </c>
      <c r="O255" s="1442">
        <v>46155</v>
      </c>
      <c r="P255" s="1442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1442">
        <v>46092</v>
      </c>
      <c r="K256" s="1442">
        <v>46143</v>
      </c>
      <c r="L256" s="1442">
        <v>46144</v>
      </c>
      <c r="M256" s="1442">
        <v>46144</v>
      </c>
      <c r="N256" t="s">
        <v>973</v>
      </c>
      <c r="O256" s="1442">
        <v>46160</v>
      </c>
      <c r="P256" s="1442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1442">
        <v>46092</v>
      </c>
      <c r="K257" s="1442">
        <v>46143</v>
      </c>
      <c r="L257" s="1442">
        <v>46144</v>
      </c>
      <c r="M257" s="1442">
        <v>46144</v>
      </c>
      <c r="N257" t="s">
        <v>973</v>
      </c>
      <c r="O257" s="1442">
        <v>46160</v>
      </c>
      <c r="P257" s="1442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1442">
        <v>46094</v>
      </c>
      <c r="K258" s="1442">
        <v>46140</v>
      </c>
      <c r="L258" s="1442">
        <v>46145</v>
      </c>
      <c r="M258" s="1442">
        <v>46148</v>
      </c>
      <c r="N258" t="s">
        <v>973</v>
      </c>
      <c r="O258" s="1442">
        <v>46160</v>
      </c>
      <c r="P258" s="1442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1442">
        <v>46097</v>
      </c>
      <c r="K259" s="1442">
        <v>46134</v>
      </c>
      <c r="L259" s="1442">
        <v>46143</v>
      </c>
      <c r="M259" s="1442">
        <v>46144</v>
      </c>
      <c r="N259" t="s">
        <v>973</v>
      </c>
      <c r="O259" s="1442">
        <v>46156</v>
      </c>
      <c r="P259" s="1442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1442">
        <v>46096</v>
      </c>
      <c r="K260" s="1442">
        <v>46149</v>
      </c>
      <c r="L260" s="1442">
        <v>46162</v>
      </c>
      <c r="M260" s="1442">
        <v>46162</v>
      </c>
      <c r="N260" t="s">
        <v>973</v>
      </c>
      <c r="O260" s="1442">
        <v>46176</v>
      </c>
      <c r="P260" s="1442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1442">
        <v>46096</v>
      </c>
      <c r="K261" s="1442">
        <v>46146</v>
      </c>
      <c r="L261" s="1442">
        <v>46153</v>
      </c>
      <c r="M261" s="1442">
        <v>46159</v>
      </c>
      <c r="N261" t="s">
        <v>973</v>
      </c>
      <c r="O261" s="1442">
        <v>46171</v>
      </c>
      <c r="P261" s="1442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1442">
        <v>46096</v>
      </c>
      <c r="K262" s="1442">
        <v>46146</v>
      </c>
      <c r="L262" s="1442">
        <v>46153</v>
      </c>
      <c r="M262" s="1442">
        <v>46159</v>
      </c>
      <c r="N262" t="s">
        <v>973</v>
      </c>
      <c r="O262" s="1442">
        <v>46171</v>
      </c>
      <c r="P262" s="1442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1442">
        <v>46097</v>
      </c>
      <c r="K263" s="1442">
        <v>46134</v>
      </c>
      <c r="L263" s="1442">
        <v>46151</v>
      </c>
      <c r="M263" s="1442">
        <v>46153</v>
      </c>
      <c r="N263" t="s">
        <v>973</v>
      </c>
      <c r="O263" s="1442">
        <v>46160</v>
      </c>
      <c r="P263" s="1442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1442">
        <v>46097</v>
      </c>
      <c r="K264" s="1442">
        <v>46134</v>
      </c>
      <c r="L264" s="1442">
        <v>46151</v>
      </c>
      <c r="M264" s="1442">
        <v>46153</v>
      </c>
      <c r="N264" t="s">
        <v>973</v>
      </c>
      <c r="O264" s="1442">
        <v>46160</v>
      </c>
      <c r="P264" s="1442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1442">
        <v>46097</v>
      </c>
      <c r="K265" s="1442">
        <v>46134</v>
      </c>
      <c r="L265" s="1442">
        <v>46151</v>
      </c>
      <c r="M265" s="1442">
        <v>46153</v>
      </c>
      <c r="N265" t="s">
        <v>973</v>
      </c>
      <c r="O265" s="1442">
        <v>46160</v>
      </c>
      <c r="P265" s="1442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1442">
        <v>46096</v>
      </c>
      <c r="K266" s="1442">
        <v>46133</v>
      </c>
      <c r="L266" s="1442">
        <v>46151</v>
      </c>
      <c r="M266" s="1442">
        <v>46153</v>
      </c>
      <c r="N266" t="s">
        <v>973</v>
      </c>
      <c r="O266" s="1442">
        <v>46160</v>
      </c>
      <c r="P266" s="1442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1442">
        <v>46096</v>
      </c>
      <c r="K267" s="1442">
        <v>46133</v>
      </c>
      <c r="L267" s="1442">
        <v>46150</v>
      </c>
      <c r="M267" s="1442">
        <v>46148</v>
      </c>
      <c r="N267" t="s">
        <v>973</v>
      </c>
      <c r="O267" s="1442">
        <v>46164</v>
      </c>
      <c r="P267" s="1442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1442">
        <v>46096</v>
      </c>
      <c r="K268" s="1442">
        <v>46133</v>
      </c>
      <c r="L268" s="1442">
        <v>46150</v>
      </c>
      <c r="M268" s="1442">
        <v>46148</v>
      </c>
      <c r="N268" t="s">
        <v>973</v>
      </c>
      <c r="O268" s="1442">
        <v>46164</v>
      </c>
      <c r="P268" s="1442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1442">
        <v>46096</v>
      </c>
      <c r="K269" s="1442">
        <v>46133</v>
      </c>
      <c r="L269" s="1442">
        <v>46150</v>
      </c>
      <c r="M269" s="1442">
        <v>46148</v>
      </c>
      <c r="N269" t="s">
        <v>973</v>
      </c>
      <c r="O269" s="1442">
        <v>46164</v>
      </c>
      <c r="P269" s="1442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1442">
        <v>46096</v>
      </c>
      <c r="K270" s="1442">
        <v>46133</v>
      </c>
      <c r="L270" s="1442">
        <v>46150</v>
      </c>
      <c r="M270" s="1442">
        <v>46148</v>
      </c>
      <c r="N270" t="s">
        <v>973</v>
      </c>
      <c r="O270" s="1442">
        <v>46164</v>
      </c>
      <c r="P270" s="1442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1442">
        <v>46096</v>
      </c>
      <c r="K271" s="1442">
        <v>46133</v>
      </c>
      <c r="L271" s="1442">
        <v>46150</v>
      </c>
      <c r="M271" s="1442">
        <v>46148</v>
      </c>
      <c r="N271" t="s">
        <v>973</v>
      </c>
      <c r="O271" s="1442">
        <v>46164</v>
      </c>
      <c r="P271" s="1442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1442">
        <v>46096</v>
      </c>
      <c r="K272" s="1442">
        <v>46133</v>
      </c>
      <c r="L272" s="1442">
        <v>46150</v>
      </c>
      <c r="M272" s="1442">
        <v>46148</v>
      </c>
      <c r="N272" t="s">
        <v>84</v>
      </c>
      <c r="O272" s="1442">
        <v>46164</v>
      </c>
      <c r="P272" s="1442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1442">
        <v>46096</v>
      </c>
      <c r="K273" s="1442">
        <v>46133</v>
      </c>
      <c r="L273" s="1442">
        <v>46150</v>
      </c>
      <c r="M273" s="1442">
        <v>46148</v>
      </c>
      <c r="N273" t="s">
        <v>973</v>
      </c>
      <c r="O273" s="1442">
        <v>46164</v>
      </c>
      <c r="P273" s="1442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1442">
        <v>46096</v>
      </c>
      <c r="K274" s="1442">
        <v>46133</v>
      </c>
      <c r="L274" s="1442">
        <v>46142</v>
      </c>
      <c r="M274" s="1442">
        <v>46141</v>
      </c>
      <c r="N274" t="s">
        <v>84</v>
      </c>
      <c r="O274" s="1442">
        <v>46163</v>
      </c>
      <c r="P274" s="1442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1442">
        <v>46096</v>
      </c>
      <c r="K275" s="1442">
        <v>46133</v>
      </c>
      <c r="L275" s="1442">
        <v>46150</v>
      </c>
      <c r="M275" s="1442">
        <v>46148</v>
      </c>
      <c r="N275" t="s">
        <v>973</v>
      </c>
      <c r="O275" s="1442">
        <v>46164</v>
      </c>
      <c r="P275" s="1442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1442">
        <v>46096</v>
      </c>
      <c r="K276" s="1442">
        <v>46133</v>
      </c>
      <c r="L276" s="1442">
        <v>46150</v>
      </c>
      <c r="M276" s="1442">
        <v>46148</v>
      </c>
      <c r="N276" t="s">
        <v>973</v>
      </c>
      <c r="O276" s="1442">
        <v>46164</v>
      </c>
      <c r="P276" s="1442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1442">
        <v>46096</v>
      </c>
      <c r="K277" s="1442">
        <v>46133</v>
      </c>
      <c r="L277" s="1442">
        <v>46139</v>
      </c>
      <c r="M277" s="1442">
        <v>46141</v>
      </c>
      <c r="N277" t="s">
        <v>973</v>
      </c>
      <c r="O277" s="1442">
        <v>46153</v>
      </c>
      <c r="P277" s="1442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1442">
        <v>46096</v>
      </c>
      <c r="K278" s="1442">
        <v>46133</v>
      </c>
      <c r="L278" s="1442">
        <v>46139</v>
      </c>
      <c r="M278" s="1442">
        <v>46141</v>
      </c>
      <c r="N278" t="s">
        <v>973</v>
      </c>
      <c r="O278" s="1442">
        <v>46153</v>
      </c>
      <c r="P278" s="1442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1442">
        <v>46096</v>
      </c>
      <c r="K279" s="1442">
        <v>46133</v>
      </c>
      <c r="L279" s="1442">
        <v>46139</v>
      </c>
      <c r="M279" s="1442">
        <v>46141</v>
      </c>
      <c r="N279" t="s">
        <v>973</v>
      </c>
      <c r="O279" s="1442">
        <v>46153</v>
      </c>
      <c r="P279" s="1442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1442">
        <v>46098</v>
      </c>
      <c r="K280" s="1442">
        <v>46168</v>
      </c>
      <c r="L280" s="1442">
        <v>46157</v>
      </c>
      <c r="M280" s="1442">
        <v>46158</v>
      </c>
      <c r="N280" t="s">
        <v>973</v>
      </c>
      <c r="O280" s="1442">
        <v>46182</v>
      </c>
      <c r="P280" s="1442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1442">
        <v>46103</v>
      </c>
      <c r="K281" s="1442">
        <v>46161</v>
      </c>
      <c r="L281" s="1442">
        <v>46163</v>
      </c>
      <c r="M281" s="1442">
        <v>46163</v>
      </c>
      <c r="N281" t="s">
        <v>973</v>
      </c>
      <c r="O281" s="1442">
        <v>46178</v>
      </c>
      <c r="P281" s="1442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1442">
        <v>46101</v>
      </c>
      <c r="K282" s="1442">
        <v>46161</v>
      </c>
      <c r="L282" s="1442">
        <v>46171</v>
      </c>
      <c r="M282" s="1442">
        <v>46172</v>
      </c>
      <c r="N282" t="s">
        <v>973</v>
      </c>
      <c r="O282" s="1442">
        <v>46178</v>
      </c>
      <c r="P282" s="1442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1442">
        <v>46101</v>
      </c>
      <c r="K283" s="1442">
        <v>46161</v>
      </c>
      <c r="L283" s="1442">
        <v>46171</v>
      </c>
      <c r="M283" s="1442">
        <v>46172</v>
      </c>
      <c r="N283" t="s">
        <v>973</v>
      </c>
      <c r="O283" s="1442">
        <v>46178</v>
      </c>
      <c r="P283" s="1442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1442">
        <v>46098</v>
      </c>
      <c r="K284" s="1442">
        <v>46147</v>
      </c>
      <c r="L284" s="1442">
        <v>46144</v>
      </c>
      <c r="M284" s="1442">
        <v>46144</v>
      </c>
      <c r="N284" t="s">
        <v>973</v>
      </c>
      <c r="O284" s="1442">
        <v>46158</v>
      </c>
      <c r="P284" s="1442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1442">
        <v>46095</v>
      </c>
      <c r="K285" s="1442">
        <v>46142</v>
      </c>
      <c r="L285" s="1442">
        <v>46150</v>
      </c>
      <c r="M285" s="1442">
        <v>46148</v>
      </c>
      <c r="N285" t="s">
        <v>973</v>
      </c>
      <c r="O285" s="1442">
        <v>46164</v>
      </c>
      <c r="P285" s="1442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1442">
        <v>46098</v>
      </c>
      <c r="K286" s="1442">
        <v>46147</v>
      </c>
      <c r="L286" s="1442">
        <v>46144</v>
      </c>
      <c r="M286" s="1442">
        <v>46144</v>
      </c>
      <c r="N286" t="s">
        <v>973</v>
      </c>
      <c r="O286" s="1442">
        <v>46158</v>
      </c>
      <c r="P286" s="1442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1442">
        <v>46099</v>
      </c>
      <c r="K287" s="1442">
        <v>46157</v>
      </c>
      <c r="L287" s="1442">
        <v>46159</v>
      </c>
      <c r="M287" s="1442">
        <v>46158</v>
      </c>
      <c r="N287" t="s">
        <v>973</v>
      </c>
      <c r="O287" s="1442">
        <v>46171</v>
      </c>
      <c r="P287" s="1442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1442">
        <v>46100</v>
      </c>
      <c r="K288" s="1442">
        <v>46144</v>
      </c>
      <c r="L288" s="1442">
        <v>46159</v>
      </c>
      <c r="M288" s="1442">
        <v>46159</v>
      </c>
      <c r="N288" t="s">
        <v>973</v>
      </c>
      <c r="O288" s="1442">
        <v>46176</v>
      </c>
      <c r="P288" s="1442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1442">
        <v>46095</v>
      </c>
      <c r="K289" s="1442">
        <v>46142</v>
      </c>
      <c r="L289" s="1442">
        <v>46150</v>
      </c>
      <c r="M289" s="1442">
        <v>46148</v>
      </c>
      <c r="N289" t="s">
        <v>973</v>
      </c>
      <c r="O289" s="1442">
        <v>46164</v>
      </c>
      <c r="P289" s="1442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1442">
        <v>46096</v>
      </c>
      <c r="K290" s="1442">
        <v>46141</v>
      </c>
      <c r="L290" s="1442">
        <v>46155</v>
      </c>
      <c r="M290" s="1442">
        <v>46155</v>
      </c>
      <c r="N290" t="s">
        <v>973</v>
      </c>
      <c r="O290" s="1442">
        <v>46169</v>
      </c>
      <c r="P290" s="1442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1442">
        <v>46096</v>
      </c>
      <c r="K291" s="1442">
        <v>46139</v>
      </c>
      <c r="L291" s="1442">
        <v>46147</v>
      </c>
      <c r="M291" s="1442">
        <v>46147</v>
      </c>
      <c r="N291" t="s">
        <v>973</v>
      </c>
      <c r="O291" s="1442">
        <v>46154</v>
      </c>
      <c r="P291" s="1442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1442">
        <v>46096</v>
      </c>
      <c r="K292" s="1442">
        <v>46139</v>
      </c>
      <c r="L292" s="1442">
        <v>46147</v>
      </c>
      <c r="M292" s="1442">
        <v>46147</v>
      </c>
      <c r="N292" t="s">
        <v>973</v>
      </c>
      <c r="O292" s="1442">
        <v>46154</v>
      </c>
      <c r="P292" s="1442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1442">
        <v>46096</v>
      </c>
      <c r="K293" s="1442">
        <v>46139</v>
      </c>
      <c r="L293" s="1442">
        <v>46147</v>
      </c>
      <c r="M293" s="1442">
        <v>46147</v>
      </c>
      <c r="N293" t="s">
        <v>973</v>
      </c>
      <c r="O293" s="1442">
        <v>46154</v>
      </c>
      <c r="P293" s="1442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1442">
        <v>46100</v>
      </c>
      <c r="K294" s="1442">
        <v>46143</v>
      </c>
      <c r="L294" s="1442">
        <v>46148</v>
      </c>
      <c r="M294" s="1442">
        <v>46161</v>
      </c>
      <c r="N294" t="s">
        <v>973</v>
      </c>
      <c r="O294" s="1442">
        <v>46175</v>
      </c>
      <c r="P294" s="1442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1442">
        <v>46100</v>
      </c>
      <c r="K295" s="1442">
        <v>46143</v>
      </c>
      <c r="L295" s="1442">
        <v>46148</v>
      </c>
      <c r="M295" s="1442">
        <v>46161</v>
      </c>
      <c r="N295" t="s">
        <v>973</v>
      </c>
      <c r="O295" s="1442">
        <v>46176</v>
      </c>
      <c r="P295" s="1442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1442">
        <v>46095</v>
      </c>
      <c r="K296" s="1442">
        <v>46142</v>
      </c>
      <c r="L296" s="1442">
        <v>46154</v>
      </c>
      <c r="M296" s="1442">
        <v>46157</v>
      </c>
      <c r="N296" t="s">
        <v>84</v>
      </c>
      <c r="O296" s="1442">
        <v>46171</v>
      </c>
      <c r="P296" s="1442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1442">
        <v>46095</v>
      </c>
      <c r="K297" s="1442">
        <v>46142</v>
      </c>
      <c r="L297" s="1442">
        <v>46154</v>
      </c>
      <c r="M297" s="1442">
        <v>46157</v>
      </c>
      <c r="N297" t="s">
        <v>973</v>
      </c>
      <c r="O297" s="1442">
        <v>46171</v>
      </c>
      <c r="P297" s="1442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1442">
        <v>46100</v>
      </c>
      <c r="K298" s="1442">
        <v>46144</v>
      </c>
      <c r="L298" s="1442">
        <v>46159</v>
      </c>
      <c r="M298" s="1442">
        <v>46159</v>
      </c>
      <c r="N298" t="s">
        <v>973</v>
      </c>
      <c r="O298" s="1442">
        <v>46176</v>
      </c>
      <c r="P298" s="1442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1442">
        <v>46100</v>
      </c>
      <c r="K299" s="1442">
        <v>46144</v>
      </c>
      <c r="L299" s="1442">
        <v>46159</v>
      </c>
      <c r="M299" s="1442">
        <v>46159</v>
      </c>
      <c r="N299" t="s">
        <v>973</v>
      </c>
      <c r="O299" s="1442">
        <v>46176</v>
      </c>
      <c r="P299" s="1442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1442">
        <v>46097</v>
      </c>
      <c r="K300" s="1442">
        <v>46134</v>
      </c>
      <c r="L300" s="1442">
        <v>46154</v>
      </c>
      <c r="M300" s="1442">
        <v>46157</v>
      </c>
      <c r="N300" t="s">
        <v>973</v>
      </c>
      <c r="O300" s="1442">
        <v>46169</v>
      </c>
      <c r="P300" s="1442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1442">
        <v>46103</v>
      </c>
      <c r="K301" s="1442">
        <v>46140</v>
      </c>
      <c r="L301" s="1442">
        <v>46151</v>
      </c>
      <c r="M301" s="1442">
        <v>46148</v>
      </c>
      <c r="N301" t="s">
        <v>973</v>
      </c>
      <c r="O301" s="1442">
        <v>46156</v>
      </c>
      <c r="P301" s="1442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1442">
        <v>46103</v>
      </c>
      <c r="K302" s="1442">
        <v>46140</v>
      </c>
      <c r="L302" s="1442">
        <v>46151</v>
      </c>
      <c r="M302" s="1442">
        <v>46148</v>
      </c>
      <c r="N302" t="s">
        <v>973</v>
      </c>
      <c r="O302" s="1442">
        <v>46156</v>
      </c>
      <c r="P302" s="1442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1442">
        <v>46103</v>
      </c>
      <c r="K303" s="1442">
        <v>46150</v>
      </c>
      <c r="L303" s="1442">
        <v>46148</v>
      </c>
      <c r="M303" s="1442">
        <v>46148</v>
      </c>
      <c r="N303" t="s">
        <v>973</v>
      </c>
      <c r="O303" s="1442">
        <v>46164</v>
      </c>
      <c r="P303" s="1442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1442">
        <v>46103</v>
      </c>
      <c r="K304" s="1442">
        <v>46144</v>
      </c>
      <c r="L304" s="1442">
        <v>46151</v>
      </c>
      <c r="M304" s="1442">
        <v>46153</v>
      </c>
      <c r="N304" t="s">
        <v>973</v>
      </c>
      <c r="O304" s="1442">
        <v>46160</v>
      </c>
      <c r="P304" s="1442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1442">
        <v>46103</v>
      </c>
      <c r="K305" s="1442">
        <v>46150</v>
      </c>
      <c r="L305" s="1442">
        <v>46148</v>
      </c>
      <c r="M305" s="1442">
        <v>46148</v>
      </c>
      <c r="N305" t="s">
        <v>973</v>
      </c>
      <c r="O305" s="1442">
        <v>46164</v>
      </c>
      <c r="P305" s="1442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1442">
        <v>46103</v>
      </c>
      <c r="K306" s="1442">
        <v>46144</v>
      </c>
      <c r="L306" s="1442">
        <v>46151</v>
      </c>
      <c r="M306" s="1442">
        <v>46153</v>
      </c>
      <c r="N306" t="s">
        <v>973</v>
      </c>
      <c r="O306" s="1442">
        <v>46160</v>
      </c>
      <c r="P306" s="1442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1442">
        <v>46103</v>
      </c>
      <c r="K307" s="1442">
        <v>46140</v>
      </c>
      <c r="L307" s="1442">
        <v>46154</v>
      </c>
      <c r="M307" s="1442">
        <v>46157</v>
      </c>
      <c r="N307" t="s">
        <v>973</v>
      </c>
      <c r="O307" s="1442">
        <v>46171</v>
      </c>
      <c r="P307" s="1442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1442">
        <v>46103</v>
      </c>
      <c r="K308" s="1442">
        <v>46150</v>
      </c>
      <c r="L308" s="1442">
        <v>46148</v>
      </c>
      <c r="M308" s="1442">
        <v>46148</v>
      </c>
      <c r="N308" t="s">
        <v>973</v>
      </c>
      <c r="O308" s="1442">
        <v>46156</v>
      </c>
      <c r="P308" s="1442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1442">
        <v>46103</v>
      </c>
      <c r="K309" s="1442">
        <v>46140</v>
      </c>
      <c r="L309" s="1442">
        <v>46169</v>
      </c>
      <c r="M309" s="1442">
        <v>46170</v>
      </c>
      <c r="N309" t="s">
        <v>973</v>
      </c>
      <c r="O309" s="1442">
        <v>46171</v>
      </c>
      <c r="P309" s="1442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1442">
        <v>46103</v>
      </c>
      <c r="K310" s="1442">
        <v>46140</v>
      </c>
      <c r="L310" s="1442">
        <v>46154</v>
      </c>
      <c r="M310" s="1442">
        <v>46157</v>
      </c>
      <c r="N310" t="s">
        <v>973</v>
      </c>
      <c r="O310" s="1442">
        <v>46171</v>
      </c>
      <c r="P310" s="1442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1442">
        <v>46103</v>
      </c>
      <c r="K311" s="1442">
        <v>46140</v>
      </c>
      <c r="L311" s="1442">
        <v>46154</v>
      </c>
      <c r="M311" s="1442">
        <v>46157</v>
      </c>
      <c r="N311" t="s">
        <v>973</v>
      </c>
      <c r="O311" s="1442">
        <v>46171</v>
      </c>
      <c r="P311" s="1442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1442">
        <v>46103</v>
      </c>
      <c r="K312" s="1442">
        <v>46150</v>
      </c>
      <c r="L312" s="1442">
        <v>46148</v>
      </c>
      <c r="M312" s="1442">
        <v>46148</v>
      </c>
      <c r="N312" t="s">
        <v>973</v>
      </c>
      <c r="O312" s="1442">
        <v>46164</v>
      </c>
      <c r="P312" s="1442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1442">
        <v>46103</v>
      </c>
      <c r="K313" s="1442">
        <v>46140</v>
      </c>
      <c r="L313" s="1442">
        <v>46154</v>
      </c>
      <c r="M313" s="1442">
        <v>46157</v>
      </c>
      <c r="N313" t="s">
        <v>973</v>
      </c>
      <c r="O313" s="1442">
        <v>46171</v>
      </c>
      <c r="P313" s="1442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1442">
        <v>46103</v>
      </c>
      <c r="K314" s="1442">
        <v>46150</v>
      </c>
      <c r="L314" s="1442">
        <v>46148</v>
      </c>
      <c r="M314" s="1442">
        <v>46148</v>
      </c>
      <c r="N314" t="s">
        <v>973</v>
      </c>
      <c r="O314" s="1442">
        <v>46156</v>
      </c>
      <c r="P314" s="1442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1442">
        <v>46103</v>
      </c>
      <c r="K315" s="1442">
        <v>46140</v>
      </c>
      <c r="L315" s="1442">
        <v>46154</v>
      </c>
      <c r="M315" s="1442">
        <v>46157</v>
      </c>
      <c r="N315" t="s">
        <v>973</v>
      </c>
      <c r="O315" s="1442">
        <v>46169</v>
      </c>
      <c r="P315" s="1442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1442">
        <v>46103</v>
      </c>
      <c r="K316" s="1442">
        <v>46140</v>
      </c>
      <c r="L316" s="1442">
        <v>46154</v>
      </c>
      <c r="M316" s="1442">
        <v>46157</v>
      </c>
      <c r="N316" t="s">
        <v>973</v>
      </c>
      <c r="O316" s="1442">
        <v>46171</v>
      </c>
      <c r="P316" s="1442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1442">
        <v>46103</v>
      </c>
      <c r="K317" s="1442">
        <v>46140</v>
      </c>
      <c r="L317" s="1442">
        <v>46154</v>
      </c>
      <c r="M317" s="1442">
        <v>46157</v>
      </c>
      <c r="N317" t="s">
        <v>973</v>
      </c>
      <c r="O317" s="1442">
        <v>46171</v>
      </c>
      <c r="P317" s="1442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1442">
        <v>46103</v>
      </c>
      <c r="K318" s="1442">
        <v>46140</v>
      </c>
      <c r="L318" s="1442">
        <v>46154</v>
      </c>
      <c r="M318" s="1442">
        <v>46157</v>
      </c>
      <c r="N318" t="s">
        <v>973</v>
      </c>
      <c r="O318" s="1442">
        <v>46171</v>
      </c>
      <c r="P318" s="1442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1442">
        <v>46102</v>
      </c>
      <c r="K319" s="1442">
        <v>46140</v>
      </c>
      <c r="L319" s="1442">
        <v>46154</v>
      </c>
      <c r="M319" s="1442">
        <v>46157</v>
      </c>
      <c r="N319" t="s">
        <v>973</v>
      </c>
      <c r="O319" s="1442">
        <v>46171</v>
      </c>
      <c r="P319" s="1442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1442">
        <v>46101</v>
      </c>
      <c r="K320" s="1442">
        <v>46139</v>
      </c>
      <c r="L320" s="1442">
        <v>46143</v>
      </c>
      <c r="M320" s="1442">
        <v>46143</v>
      </c>
      <c r="N320" t="s">
        <v>973</v>
      </c>
      <c r="O320" s="1442">
        <v>46153</v>
      </c>
      <c r="P320" s="1442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1442">
        <v>46102</v>
      </c>
      <c r="K321" s="1442">
        <v>46140</v>
      </c>
      <c r="L321" s="1442">
        <v>46154</v>
      </c>
      <c r="M321" s="1442">
        <v>46157</v>
      </c>
      <c r="N321" t="s">
        <v>973</v>
      </c>
      <c r="O321" s="1442">
        <v>46171</v>
      </c>
      <c r="P321" s="1442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1442">
        <v>46100</v>
      </c>
      <c r="K322" s="1442">
        <v>46147</v>
      </c>
      <c r="L322" s="1442">
        <v>46151</v>
      </c>
      <c r="M322" s="1442">
        <v>46152</v>
      </c>
      <c r="N322" t="s">
        <v>973</v>
      </c>
      <c r="O322" s="1442">
        <v>46154</v>
      </c>
      <c r="P322" s="1442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1442">
        <v>46100</v>
      </c>
      <c r="K323" s="1442">
        <v>46140</v>
      </c>
      <c r="L323" s="1442">
        <v>46151</v>
      </c>
      <c r="M323" s="1442">
        <v>46151</v>
      </c>
      <c r="N323" t="s">
        <v>973</v>
      </c>
      <c r="O323" s="1442">
        <v>46154</v>
      </c>
      <c r="P323" s="1442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1442">
        <v>46100</v>
      </c>
      <c r="K324" s="1442">
        <v>46140</v>
      </c>
      <c r="L324" s="1442">
        <v>46151</v>
      </c>
      <c r="M324" s="1442">
        <v>46151</v>
      </c>
      <c r="N324" t="s">
        <v>973</v>
      </c>
      <c r="O324" s="1442">
        <v>46154</v>
      </c>
      <c r="P324" s="1442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1442">
        <v>46102</v>
      </c>
      <c r="K325" s="1442">
        <v>46144</v>
      </c>
      <c r="L325" s="1442">
        <v>46154</v>
      </c>
      <c r="M325" s="1442">
        <v>46157</v>
      </c>
      <c r="N325" t="s">
        <v>973</v>
      </c>
      <c r="O325" s="1442">
        <v>46169</v>
      </c>
      <c r="P325" s="1442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1442">
        <v>46103</v>
      </c>
      <c r="K326" s="1442">
        <v>46140</v>
      </c>
      <c r="L326" s="1442">
        <v>46150</v>
      </c>
      <c r="M326" s="1442">
        <v>46148</v>
      </c>
      <c r="N326" t="s">
        <v>973</v>
      </c>
      <c r="O326" s="1442">
        <v>46164</v>
      </c>
      <c r="P326" s="1442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1442">
        <v>46101</v>
      </c>
      <c r="K327" s="1442">
        <v>46139</v>
      </c>
      <c r="L327" s="1442">
        <v>46143</v>
      </c>
      <c r="M327" s="1442">
        <v>46143</v>
      </c>
      <c r="N327" t="s">
        <v>973</v>
      </c>
      <c r="O327" s="1442">
        <v>46153</v>
      </c>
      <c r="P327" s="1442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1442">
        <v>46102</v>
      </c>
      <c r="K328" s="1442">
        <v>46144</v>
      </c>
      <c r="L328" s="1442">
        <v>46151</v>
      </c>
      <c r="M328" s="1442">
        <v>46153</v>
      </c>
      <c r="N328" t="s">
        <v>973</v>
      </c>
      <c r="O328" s="1442">
        <v>46160</v>
      </c>
      <c r="P328" s="1442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1442">
        <v>46102</v>
      </c>
      <c r="K329" s="1442">
        <v>46152</v>
      </c>
      <c r="L329" s="1442">
        <v>46154</v>
      </c>
      <c r="M329" s="1442">
        <v>46155</v>
      </c>
      <c r="N329" t="s">
        <v>973</v>
      </c>
      <c r="O329" s="1442">
        <v>46167</v>
      </c>
      <c r="P329" s="1442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1442">
        <v>46102</v>
      </c>
      <c r="K330" s="1442">
        <v>46144</v>
      </c>
      <c r="L330" s="1442">
        <v>46151</v>
      </c>
      <c r="M330" s="1442">
        <v>46153</v>
      </c>
      <c r="N330" t="s">
        <v>973</v>
      </c>
      <c r="O330" s="1442">
        <v>46160</v>
      </c>
      <c r="P330" s="1442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1442">
        <v>46102</v>
      </c>
      <c r="K331" s="1442">
        <v>46144</v>
      </c>
      <c r="L331" s="1442">
        <v>46151</v>
      </c>
      <c r="M331" s="1442">
        <v>46153</v>
      </c>
      <c r="N331" t="s">
        <v>973</v>
      </c>
      <c r="O331" s="1442">
        <v>46160</v>
      </c>
      <c r="P331" s="1442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1442">
        <v>46103</v>
      </c>
      <c r="K332" s="1442">
        <v>46154</v>
      </c>
      <c r="L332" s="1442">
        <v>46161</v>
      </c>
      <c r="M332" s="1442">
        <v>46162</v>
      </c>
      <c r="N332" t="s">
        <v>973</v>
      </c>
      <c r="O332" s="1442">
        <v>46176</v>
      </c>
      <c r="P332" s="1442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1442">
        <v>46103</v>
      </c>
      <c r="K333" s="1442">
        <v>46141</v>
      </c>
      <c r="L333" s="1442">
        <v>46160</v>
      </c>
      <c r="M333" s="1442">
        <v>46157</v>
      </c>
      <c r="N333" t="s">
        <v>973</v>
      </c>
      <c r="O333" s="1442">
        <v>46171</v>
      </c>
      <c r="P333" s="1442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1442">
        <v>46103</v>
      </c>
      <c r="K334" s="1442">
        <v>46147</v>
      </c>
      <c r="L334" s="1442">
        <v>46154</v>
      </c>
      <c r="M334" s="1442">
        <v>46157</v>
      </c>
      <c r="N334" t="s">
        <v>84</v>
      </c>
      <c r="O334" s="1442">
        <v>46171</v>
      </c>
      <c r="P334" s="1442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1442">
        <v>46103</v>
      </c>
      <c r="K335" s="1442">
        <v>46161</v>
      </c>
      <c r="L335" s="1442">
        <v>46166</v>
      </c>
      <c r="M335" s="1442">
        <v>46164</v>
      </c>
      <c r="N335" t="s">
        <v>973</v>
      </c>
      <c r="O335" s="1442">
        <v>46178</v>
      </c>
      <c r="P335" s="1442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1442">
        <v>46103</v>
      </c>
      <c r="K336" s="1442">
        <v>46161</v>
      </c>
      <c r="L336" s="1442">
        <v>46182</v>
      </c>
      <c r="M336" s="1442">
        <v>46183</v>
      </c>
      <c r="N336" t="s">
        <v>973</v>
      </c>
      <c r="O336" s="1442">
        <v>46195</v>
      </c>
      <c r="P336" s="1442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1442">
        <v>46105</v>
      </c>
      <c r="K337" s="1442">
        <v>46154</v>
      </c>
      <c r="L337" s="1442">
        <v>46151</v>
      </c>
      <c r="M337" s="1442">
        <v>46151</v>
      </c>
      <c r="N337" t="s">
        <v>973</v>
      </c>
      <c r="O337" s="1442">
        <v>46161</v>
      </c>
      <c r="P337" s="1442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1442">
        <v>46105</v>
      </c>
      <c r="K338" s="1442">
        <v>46154</v>
      </c>
      <c r="L338" s="1442">
        <v>46151</v>
      </c>
      <c r="M338" s="1442">
        <v>46151</v>
      </c>
      <c r="N338" t="s">
        <v>973</v>
      </c>
      <c r="O338" s="1442">
        <v>46161</v>
      </c>
      <c r="P338" s="1442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1442">
        <v>46106</v>
      </c>
      <c r="K339" s="1442">
        <v>46149</v>
      </c>
      <c r="L339" s="1442">
        <v>46149</v>
      </c>
      <c r="M339" s="1442">
        <v>46149</v>
      </c>
      <c r="N339" t="s">
        <v>973</v>
      </c>
      <c r="O339" s="1442">
        <v>46163</v>
      </c>
      <c r="P339" s="1442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1442">
        <v>46105</v>
      </c>
      <c r="K340" s="1442">
        <v>46154</v>
      </c>
      <c r="L340" s="1442">
        <v>46151</v>
      </c>
      <c r="M340" s="1442">
        <v>46151</v>
      </c>
      <c r="N340" t="s">
        <v>84</v>
      </c>
      <c r="O340" s="1442">
        <v>46173</v>
      </c>
      <c r="P340" s="1442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1442">
        <v>46105</v>
      </c>
      <c r="K341" s="1442">
        <v>46154</v>
      </c>
      <c r="L341" s="1442">
        <v>46151</v>
      </c>
      <c r="M341" s="1442">
        <v>46151</v>
      </c>
      <c r="N341" t="s">
        <v>84</v>
      </c>
      <c r="O341" s="1442">
        <v>46173</v>
      </c>
      <c r="P341" s="1442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1442">
        <v>46105</v>
      </c>
      <c r="K342" s="1442">
        <v>46154</v>
      </c>
      <c r="L342" s="1442">
        <v>46151</v>
      </c>
      <c r="M342" s="1442">
        <v>46151</v>
      </c>
      <c r="N342" t="s">
        <v>973</v>
      </c>
      <c r="O342" s="1442">
        <v>46161</v>
      </c>
      <c r="P342" s="1442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1442">
        <v>46105</v>
      </c>
      <c r="K343" s="1442">
        <v>46154</v>
      </c>
      <c r="L343" s="1442">
        <v>46151</v>
      </c>
      <c r="M343" s="1442">
        <v>46151</v>
      </c>
      <c r="N343" t="s">
        <v>973</v>
      </c>
      <c r="O343" s="1442">
        <v>46161</v>
      </c>
      <c r="P343" s="1442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1442">
        <v>46105</v>
      </c>
      <c r="K344" s="1442">
        <v>46154</v>
      </c>
      <c r="L344" s="1442">
        <v>46151</v>
      </c>
      <c r="M344" s="1442">
        <v>46151</v>
      </c>
      <c r="N344" t="s">
        <v>973</v>
      </c>
      <c r="O344" s="1442">
        <v>46161</v>
      </c>
      <c r="P344" s="1442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1442">
        <v>46105</v>
      </c>
      <c r="K345" s="1442">
        <v>46154</v>
      </c>
      <c r="L345" s="1442">
        <v>46151</v>
      </c>
      <c r="M345" s="1442">
        <v>46151</v>
      </c>
      <c r="N345" t="s">
        <v>973</v>
      </c>
      <c r="O345" s="1442">
        <v>46161</v>
      </c>
      <c r="P345" s="1442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1442">
        <v>46105</v>
      </c>
      <c r="K346" s="1442">
        <v>46147</v>
      </c>
      <c r="L346" s="1442">
        <v>46166</v>
      </c>
      <c r="M346" s="1442">
        <v>46167</v>
      </c>
      <c r="N346" t="s">
        <v>973</v>
      </c>
      <c r="O346" s="1442">
        <v>46161</v>
      </c>
      <c r="P346" s="1442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1442">
        <v>46105</v>
      </c>
      <c r="K347" s="1442">
        <v>46147</v>
      </c>
      <c r="L347" s="1442">
        <v>46166</v>
      </c>
      <c r="M347" s="1442">
        <v>46167</v>
      </c>
      <c r="N347" t="s">
        <v>973</v>
      </c>
      <c r="O347" s="1442">
        <v>46161</v>
      </c>
      <c r="P347" s="1442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1442">
        <v>46105</v>
      </c>
      <c r="K348" s="1442">
        <v>46150</v>
      </c>
      <c r="L348" s="1442">
        <v>46148</v>
      </c>
      <c r="M348" s="1442">
        <v>46148</v>
      </c>
      <c r="N348" t="s">
        <v>973</v>
      </c>
      <c r="O348" s="1442">
        <v>46164</v>
      </c>
      <c r="P348" s="1442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1442">
        <v>46110</v>
      </c>
      <c r="K349" s="1442">
        <v>46147</v>
      </c>
      <c r="L349" s="1442">
        <v>46154</v>
      </c>
      <c r="M349" s="1442">
        <v>46157</v>
      </c>
      <c r="N349" t="s">
        <v>973</v>
      </c>
      <c r="O349" s="1442">
        <v>46167</v>
      </c>
      <c r="P349" s="1442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1442">
        <v>46111</v>
      </c>
      <c r="K350" s="1442">
        <v>46148</v>
      </c>
      <c r="L350" s="1442">
        <v>46157</v>
      </c>
      <c r="M350" s="1442">
        <v>46156</v>
      </c>
      <c r="N350" t="s">
        <v>973</v>
      </c>
      <c r="O350" s="1442">
        <v>46170</v>
      </c>
      <c r="P350" s="1442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1442">
        <v>46110</v>
      </c>
      <c r="K351" s="1442">
        <v>46168</v>
      </c>
      <c r="L351" s="1442">
        <v>46190</v>
      </c>
      <c r="M351" s="1442">
        <v>46191</v>
      </c>
      <c r="N351" t="s">
        <v>973</v>
      </c>
      <c r="O351" s="1442">
        <v>46205</v>
      </c>
      <c r="P351" s="1442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1442">
        <v>46110</v>
      </c>
      <c r="K352" s="1442">
        <v>46168</v>
      </c>
      <c r="L352" s="1442">
        <v>46190</v>
      </c>
      <c r="M352" s="1442">
        <v>46191</v>
      </c>
      <c r="N352" t="s">
        <v>973</v>
      </c>
      <c r="O352" s="1442">
        <v>46205</v>
      </c>
      <c r="P352" s="1442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1442">
        <v>46108</v>
      </c>
      <c r="K353" s="1442">
        <v>46172</v>
      </c>
      <c r="L353" s="1442">
        <v>46172</v>
      </c>
      <c r="M353" s="1442">
        <v>46174</v>
      </c>
      <c r="N353" t="s">
        <v>973</v>
      </c>
      <c r="O353" s="1442">
        <v>46185</v>
      </c>
      <c r="P353" s="1442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1442">
        <v>46108</v>
      </c>
      <c r="K354" s="1442">
        <v>46172</v>
      </c>
      <c r="L354" s="1442">
        <v>46172</v>
      </c>
      <c r="M354" s="1442">
        <v>46174</v>
      </c>
      <c r="N354" t="s">
        <v>973</v>
      </c>
      <c r="O354" s="1442">
        <v>46185</v>
      </c>
      <c r="P354" s="1442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1442">
        <v>46110</v>
      </c>
      <c r="K355" s="1442">
        <v>46147</v>
      </c>
      <c r="L355" s="1442">
        <v>46154</v>
      </c>
      <c r="M355" s="1442">
        <v>46157</v>
      </c>
      <c r="N355" t="s">
        <v>973</v>
      </c>
      <c r="O355" s="1442">
        <v>46161</v>
      </c>
      <c r="P355" s="1442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1442">
        <v>46112</v>
      </c>
      <c r="K356" s="1442">
        <v>46162</v>
      </c>
      <c r="L356" s="1442">
        <v>46162</v>
      </c>
      <c r="M356" s="1442">
        <v>46162</v>
      </c>
      <c r="N356" t="s">
        <v>973</v>
      </c>
      <c r="O356" s="1442">
        <v>46176</v>
      </c>
      <c r="P356" s="1442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1442">
        <v>46110</v>
      </c>
      <c r="K357" s="1442">
        <v>46150</v>
      </c>
      <c r="L357" s="1442">
        <v>46169</v>
      </c>
      <c r="M357" s="1442">
        <v>46170</v>
      </c>
      <c r="N357" t="s">
        <v>973</v>
      </c>
      <c r="O357" s="1442">
        <v>46164</v>
      </c>
      <c r="P357" s="1442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1442">
        <v>46111</v>
      </c>
      <c r="K358" s="1442">
        <v>46163</v>
      </c>
      <c r="L358" s="1442">
        <v>46170</v>
      </c>
      <c r="M358" s="1442">
        <v>46171</v>
      </c>
      <c r="N358" t="s">
        <v>973</v>
      </c>
      <c r="O358" s="1442">
        <v>46177</v>
      </c>
      <c r="P358" s="1442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1442">
        <v>46111</v>
      </c>
      <c r="K359" s="1442">
        <v>46163</v>
      </c>
      <c r="L359" s="1442">
        <v>46170</v>
      </c>
      <c r="M359" s="1442">
        <v>46171</v>
      </c>
      <c r="N359" t="s">
        <v>973</v>
      </c>
      <c r="O359" s="1442">
        <v>46177</v>
      </c>
      <c r="P359" s="1442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1442">
        <v>46114</v>
      </c>
      <c r="K360" s="1442">
        <v>46156</v>
      </c>
      <c r="L360" s="1442">
        <v>46156</v>
      </c>
      <c r="M360" s="1442">
        <v>46158</v>
      </c>
      <c r="N360" t="s">
        <v>973</v>
      </c>
      <c r="O360" s="1442">
        <v>46170</v>
      </c>
      <c r="P360" s="1442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1442">
        <v>46114</v>
      </c>
      <c r="K361" s="1442">
        <v>46156</v>
      </c>
      <c r="L361" s="1442">
        <v>46164</v>
      </c>
      <c r="M361" s="1442">
        <v>46165</v>
      </c>
      <c r="N361" t="s">
        <v>973</v>
      </c>
      <c r="O361" s="1442">
        <v>46170</v>
      </c>
      <c r="P361" s="1442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1442">
        <v>46113</v>
      </c>
      <c r="K362" s="1442">
        <v>46172</v>
      </c>
      <c r="L362" s="1442">
        <v>46172</v>
      </c>
      <c r="M362" s="1442">
        <v>46172</v>
      </c>
      <c r="N362" t="s">
        <v>973</v>
      </c>
      <c r="O362" s="1442">
        <v>46185</v>
      </c>
      <c r="P362" s="1442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1442">
        <v>46113</v>
      </c>
      <c r="K363" s="1442">
        <v>46172</v>
      </c>
      <c r="L363" s="1442">
        <v>46172</v>
      </c>
      <c r="M363" s="1442">
        <v>46172</v>
      </c>
      <c r="N363" t="s">
        <v>973</v>
      </c>
      <c r="O363" s="1442">
        <v>46185</v>
      </c>
      <c r="P363" s="1442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1442">
        <v>46048</v>
      </c>
      <c r="K364" s="1442">
        <v>46106</v>
      </c>
      <c r="L364" s="1442">
        <v>46120</v>
      </c>
      <c r="M364" s="1442">
        <v>46120</v>
      </c>
      <c r="N364" t="s">
        <v>84</v>
      </c>
      <c r="O364" s="1442">
        <v>46133</v>
      </c>
      <c r="P364" s="1442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1442">
        <v>46048</v>
      </c>
      <c r="K365" s="1442">
        <v>46106</v>
      </c>
      <c r="L365" s="1442">
        <v>46120</v>
      </c>
      <c r="M365" s="1442">
        <v>46120</v>
      </c>
      <c r="N365" t="s">
        <v>84</v>
      </c>
      <c r="O365" s="1442">
        <v>46132</v>
      </c>
      <c r="P365" s="1442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1442">
        <v>46098</v>
      </c>
      <c r="K366" s="1442">
        <v>46147</v>
      </c>
      <c r="L366" s="1442">
        <v>46144</v>
      </c>
      <c r="M366" s="1442">
        <v>46144</v>
      </c>
      <c r="N366" t="s">
        <v>973</v>
      </c>
      <c r="O366" s="1442">
        <v>46160</v>
      </c>
      <c r="P366" s="1442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1442">
        <v>46098</v>
      </c>
      <c r="K367" s="1442">
        <v>46147</v>
      </c>
      <c r="L367" s="1442">
        <v>46144</v>
      </c>
      <c r="M367" s="1442">
        <v>46144</v>
      </c>
      <c r="N367" t="s">
        <v>973</v>
      </c>
      <c r="O367" s="1442">
        <v>46161</v>
      </c>
      <c r="P367" s="1442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1442">
        <v>46084</v>
      </c>
      <c r="K368" s="1442">
        <v>46160</v>
      </c>
      <c r="L368" s="1442">
        <v>46169</v>
      </c>
      <c r="M368" s="1442">
        <v>46165</v>
      </c>
      <c r="N368" t="s">
        <v>84</v>
      </c>
      <c r="O368" s="1442">
        <v>46177</v>
      </c>
      <c r="P368" s="1442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1442">
        <v>46084</v>
      </c>
      <c r="K369" s="1442">
        <v>46160</v>
      </c>
      <c r="L369" s="1442">
        <v>46169</v>
      </c>
      <c r="M369" s="1442">
        <v>46165</v>
      </c>
      <c r="N369" t="s">
        <v>84</v>
      </c>
      <c r="O369" s="1442">
        <v>46174</v>
      </c>
      <c r="P369" s="1442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1442">
        <v>46111</v>
      </c>
      <c r="K370" s="1442">
        <v>46155</v>
      </c>
      <c r="L370" s="1442">
        <v>46162</v>
      </c>
      <c r="M370" s="1442">
        <v>46162</v>
      </c>
      <c r="N370" t="s">
        <v>973</v>
      </c>
      <c r="O370" s="1442">
        <v>46176</v>
      </c>
      <c r="P370" s="1442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1442">
        <v>46111</v>
      </c>
      <c r="K371" s="1442">
        <v>46155</v>
      </c>
      <c r="L371" s="1442">
        <v>46159</v>
      </c>
      <c r="M371" s="1442">
        <v>46162</v>
      </c>
      <c r="N371" t="s">
        <v>973</v>
      </c>
      <c r="O371" s="1442">
        <v>46176</v>
      </c>
      <c r="P371" s="1442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1442">
        <v>46111</v>
      </c>
      <c r="K372" s="1442">
        <v>46155</v>
      </c>
      <c r="L372" s="1442">
        <v>46162</v>
      </c>
      <c r="M372" s="1442">
        <v>46162</v>
      </c>
      <c r="N372" t="s">
        <v>973</v>
      </c>
      <c r="O372" s="1442">
        <v>46176</v>
      </c>
      <c r="P372" s="1442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1442">
        <v>46115</v>
      </c>
      <c r="K373" s="1442">
        <v>46162</v>
      </c>
      <c r="L373" s="1442">
        <v>46169</v>
      </c>
      <c r="M373" s="1442">
        <v>46169</v>
      </c>
      <c r="N373" t="s">
        <v>973</v>
      </c>
      <c r="O373" s="1442">
        <v>46183</v>
      </c>
      <c r="P373" s="1442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1442">
        <v>46116</v>
      </c>
      <c r="K374" s="1442">
        <v>46162</v>
      </c>
      <c r="L374" s="1442">
        <v>46169</v>
      </c>
      <c r="M374" s="1442">
        <v>46169</v>
      </c>
      <c r="N374" t="s">
        <v>973</v>
      </c>
      <c r="O374" s="1442">
        <v>46183</v>
      </c>
      <c r="P374" s="1442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1442">
        <v>46115</v>
      </c>
      <c r="K375" s="1442">
        <v>46162</v>
      </c>
      <c r="L375" s="1442">
        <v>46169</v>
      </c>
      <c r="M375" s="1442">
        <v>46169</v>
      </c>
      <c r="N375" t="s">
        <v>973</v>
      </c>
      <c r="O375" s="1442">
        <v>46183</v>
      </c>
      <c r="P375" s="1442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1442">
        <v>46118</v>
      </c>
      <c r="K376" s="1442">
        <v>46155</v>
      </c>
      <c r="L376" s="1442">
        <v>46163</v>
      </c>
      <c r="M376" s="1442">
        <v>46163</v>
      </c>
      <c r="N376" t="s">
        <v>973</v>
      </c>
      <c r="O376" s="1442">
        <v>46155</v>
      </c>
      <c r="P376" s="1442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1442">
        <v>46116</v>
      </c>
      <c r="K377" s="1442">
        <v>46168</v>
      </c>
      <c r="L377" s="1442">
        <v>46170</v>
      </c>
      <c r="M377" s="1442">
        <v>46170</v>
      </c>
      <c r="N377" t="s">
        <v>973</v>
      </c>
      <c r="O377" s="1442">
        <v>46184</v>
      </c>
      <c r="P377" s="1442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1442">
        <v>46116</v>
      </c>
      <c r="K378" s="1442">
        <v>46181</v>
      </c>
      <c r="L378" s="1442">
        <v>46181</v>
      </c>
      <c r="M378" s="1442">
        <v>46179</v>
      </c>
      <c r="N378" t="s">
        <v>973</v>
      </c>
      <c r="O378" s="1442">
        <v>46192</v>
      </c>
      <c r="P378" s="1442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1442">
        <v>46116</v>
      </c>
      <c r="K379" s="1442">
        <v>46181</v>
      </c>
      <c r="L379" s="1442">
        <v>46171</v>
      </c>
      <c r="M379" s="1442">
        <v>46175</v>
      </c>
      <c r="N379" t="s">
        <v>973</v>
      </c>
      <c r="O379" s="1442">
        <v>46188</v>
      </c>
      <c r="P379" s="1442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1442">
        <v>46118</v>
      </c>
      <c r="K380" s="1442">
        <v>46155</v>
      </c>
      <c r="L380" s="1442">
        <v>46166</v>
      </c>
      <c r="M380" s="1442">
        <v>46167</v>
      </c>
      <c r="N380" t="s">
        <v>973</v>
      </c>
      <c r="O380" s="1442">
        <v>46181</v>
      </c>
      <c r="P380" s="1442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1442">
        <v>46117</v>
      </c>
      <c r="K381" s="1442">
        <v>46154</v>
      </c>
      <c r="L381" s="1442">
        <v>46164</v>
      </c>
      <c r="M381" s="1442">
        <v>46164</v>
      </c>
      <c r="N381" t="s">
        <v>973</v>
      </c>
      <c r="O381" s="1442">
        <v>46154</v>
      </c>
      <c r="P381" s="1442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1442">
        <v>46117</v>
      </c>
      <c r="K382" s="1442">
        <v>46154</v>
      </c>
      <c r="L382" s="1442">
        <v>46164</v>
      </c>
      <c r="M382" s="1442">
        <v>46164</v>
      </c>
      <c r="N382" t="s">
        <v>973</v>
      </c>
      <c r="O382" s="1442">
        <v>46154</v>
      </c>
      <c r="P382" s="1442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1442">
        <v>46120</v>
      </c>
      <c r="K383" s="1442">
        <v>46169</v>
      </c>
      <c r="L383" s="1442">
        <v>46169</v>
      </c>
      <c r="M383" s="1442">
        <v>46169</v>
      </c>
      <c r="N383" t="s">
        <v>973</v>
      </c>
      <c r="O383" s="1442">
        <v>46183</v>
      </c>
      <c r="P383" s="1442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1442">
        <v>46117</v>
      </c>
      <c r="K384" s="1442">
        <v>46154</v>
      </c>
      <c r="L384" s="1442">
        <v>46164</v>
      </c>
      <c r="M384" s="1442">
        <v>46164</v>
      </c>
      <c r="N384" t="s">
        <v>973</v>
      </c>
      <c r="O384" s="1442">
        <v>46168</v>
      </c>
      <c r="P384" s="1442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1442">
        <v>46116</v>
      </c>
      <c r="K385" s="1442">
        <v>46158</v>
      </c>
      <c r="L385" s="1442">
        <v>46159</v>
      </c>
      <c r="M385" s="1442">
        <v>46159</v>
      </c>
      <c r="N385" t="s">
        <v>973</v>
      </c>
      <c r="O385" s="1442">
        <v>46157</v>
      </c>
      <c r="P385" s="1442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1442">
        <v>46122</v>
      </c>
      <c r="K386" s="1442">
        <v>46177</v>
      </c>
      <c r="L386" s="1442">
        <v>46207</v>
      </c>
      <c r="M386" s="1442">
        <v>46207</v>
      </c>
      <c r="N386" t="s">
        <v>973</v>
      </c>
      <c r="O386" s="1442">
        <v>46191</v>
      </c>
      <c r="P386" s="1442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1442">
        <v>46123</v>
      </c>
      <c r="K387" s="1442">
        <v>46177</v>
      </c>
      <c r="L387" s="1442">
        <v>46174</v>
      </c>
      <c r="M387" s="1442">
        <v>46176</v>
      </c>
      <c r="N387" t="s">
        <v>973</v>
      </c>
      <c r="O387" s="1442">
        <v>46195</v>
      </c>
      <c r="P387" s="1442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1442">
        <v>46123</v>
      </c>
      <c r="K388" s="1442">
        <v>46177</v>
      </c>
      <c r="L388" s="1442">
        <v>46174</v>
      </c>
      <c r="M388" s="1442">
        <v>46176</v>
      </c>
      <c r="N388" t="s">
        <v>973</v>
      </c>
      <c r="O388" s="1442">
        <v>46195</v>
      </c>
      <c r="P388" s="1442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1442">
        <v>46123</v>
      </c>
      <c r="K389" s="1442">
        <v>46177</v>
      </c>
      <c r="L389" s="1442">
        <v>46174</v>
      </c>
      <c r="M389" s="1442">
        <v>46176</v>
      </c>
      <c r="N389" t="s">
        <v>973</v>
      </c>
      <c r="O389" s="1442">
        <v>46195</v>
      </c>
      <c r="P389" s="1442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1442">
        <v>46124</v>
      </c>
      <c r="K390" s="1442">
        <v>46165</v>
      </c>
      <c r="L390" s="1442">
        <v>46165</v>
      </c>
      <c r="M390" s="1442">
        <v>46166</v>
      </c>
      <c r="N390" t="s">
        <v>973</v>
      </c>
      <c r="O390" s="1442">
        <v>46181</v>
      </c>
      <c r="P390" s="1442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1442">
        <v>46124</v>
      </c>
      <c r="K391" s="1442">
        <v>46165</v>
      </c>
      <c r="L391" s="1442">
        <v>46165</v>
      </c>
      <c r="M391" s="1442">
        <v>46166</v>
      </c>
      <c r="N391" t="s">
        <v>973</v>
      </c>
      <c r="O391" s="1442">
        <v>46181</v>
      </c>
      <c r="P391" s="1442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1442">
        <v>46124</v>
      </c>
      <c r="K392" s="1442">
        <v>46167</v>
      </c>
      <c r="L392" s="1442">
        <v>46182</v>
      </c>
      <c r="M392" s="1442">
        <v>46182</v>
      </c>
      <c r="N392" t="s">
        <v>973</v>
      </c>
      <c r="O392" s="1442">
        <v>46202</v>
      </c>
      <c r="P392" s="1442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1442">
        <v>46124</v>
      </c>
      <c r="K393" s="1442">
        <v>46169</v>
      </c>
      <c r="L393" s="1442">
        <v>46172</v>
      </c>
      <c r="M393" s="1442">
        <v>46170</v>
      </c>
      <c r="N393" t="s">
        <v>973</v>
      </c>
      <c r="O393" s="1442">
        <v>46177</v>
      </c>
      <c r="P393" s="1442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1442">
        <v>46125</v>
      </c>
      <c r="K394" s="1442">
        <v>46171</v>
      </c>
      <c r="L394" s="1442">
        <v>46176</v>
      </c>
      <c r="M394" s="1442">
        <v>46178</v>
      </c>
      <c r="N394" t="s">
        <v>973</v>
      </c>
      <c r="O394" s="1442">
        <v>46192</v>
      </c>
      <c r="P394" s="1442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1442">
        <v>46125</v>
      </c>
      <c r="K395" s="1442">
        <v>46171</v>
      </c>
      <c r="L395" s="1442">
        <v>46176</v>
      </c>
      <c r="M395" s="1442">
        <v>46178</v>
      </c>
      <c r="N395" t="s">
        <v>973</v>
      </c>
      <c r="O395" s="1442">
        <v>46192</v>
      </c>
      <c r="P395" s="1442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1442">
        <v>46122</v>
      </c>
      <c r="K396" s="1442">
        <v>46169</v>
      </c>
      <c r="L396" s="1442">
        <v>46169</v>
      </c>
      <c r="M396" s="1442">
        <v>46175</v>
      </c>
      <c r="N396" t="s">
        <v>973</v>
      </c>
      <c r="O396" s="1442">
        <v>46190</v>
      </c>
      <c r="P396" s="1442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1442">
        <v>46124</v>
      </c>
      <c r="K397" s="1442">
        <v>46165</v>
      </c>
      <c r="L397" s="1442">
        <v>46165</v>
      </c>
      <c r="M397" s="1442">
        <v>46168</v>
      </c>
      <c r="N397" t="s">
        <v>973</v>
      </c>
      <c r="O397" s="1442">
        <v>46181</v>
      </c>
      <c r="P397" s="1442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1442">
        <v>46123</v>
      </c>
      <c r="K398" s="1442">
        <v>46175</v>
      </c>
      <c r="L398" s="1442">
        <v>46174</v>
      </c>
      <c r="M398" s="1442">
        <v>46175</v>
      </c>
      <c r="N398" t="s">
        <v>973</v>
      </c>
      <c r="O398" s="1442">
        <v>46189</v>
      </c>
      <c r="P398" s="1442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1442">
        <v>46123</v>
      </c>
      <c r="K399" s="1442">
        <v>46188</v>
      </c>
      <c r="L399" s="1442">
        <v>46193</v>
      </c>
      <c r="M399" s="1442">
        <v>46195</v>
      </c>
      <c r="N399" t="s">
        <v>973</v>
      </c>
      <c r="O399" s="1442">
        <v>46206</v>
      </c>
      <c r="P399" s="1442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1442">
        <v>46122</v>
      </c>
      <c r="K400" s="1442">
        <v>46166</v>
      </c>
      <c r="L400" s="1442">
        <v>46174</v>
      </c>
      <c r="M400" s="1442">
        <v>46174</v>
      </c>
      <c r="N400" t="s">
        <v>973</v>
      </c>
      <c r="O400" s="1442">
        <v>46189</v>
      </c>
      <c r="P400" s="1442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1442">
        <v>46119</v>
      </c>
      <c r="K401" s="1442">
        <v>46168</v>
      </c>
      <c r="L401" s="1442">
        <v>46166</v>
      </c>
      <c r="M401" s="1442">
        <v>46164</v>
      </c>
      <c r="N401" t="s">
        <v>973</v>
      </c>
      <c r="O401" s="1442">
        <v>46178</v>
      </c>
      <c r="P401" s="1442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1442">
        <v>46129</v>
      </c>
      <c r="K402" s="1442">
        <v>46182</v>
      </c>
      <c r="L402" s="1442">
        <v>46183</v>
      </c>
      <c r="M402" s="1442">
        <v>46182</v>
      </c>
      <c r="N402" t="s">
        <v>973</v>
      </c>
      <c r="O402" s="1442">
        <v>46198</v>
      </c>
      <c r="P402" s="1442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1442">
        <v>46129</v>
      </c>
      <c r="K403" s="1442">
        <v>46189</v>
      </c>
      <c r="L403" s="1442">
        <v>46184</v>
      </c>
      <c r="M403" s="1442">
        <v>46184</v>
      </c>
      <c r="N403" t="s">
        <v>973</v>
      </c>
      <c r="O403" s="1442">
        <v>46197</v>
      </c>
      <c r="P403" s="1442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1442">
        <v>46131</v>
      </c>
      <c r="K404" s="1442">
        <v>46182</v>
      </c>
      <c r="L404" s="1442">
        <v>46196</v>
      </c>
      <c r="M404" s="1442">
        <v>46190</v>
      </c>
      <c r="N404" t="s">
        <v>973</v>
      </c>
      <c r="O404" s="1442">
        <v>46204</v>
      </c>
      <c r="P404" s="1442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1442">
        <v>46131</v>
      </c>
      <c r="K405" s="1442">
        <v>46182</v>
      </c>
      <c r="L405" s="1442">
        <v>46196</v>
      </c>
      <c r="M405" s="1442">
        <v>46190</v>
      </c>
      <c r="N405" t="s">
        <v>973</v>
      </c>
      <c r="O405" s="1442">
        <v>46204</v>
      </c>
      <c r="P405" s="1442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1442">
        <v>46129</v>
      </c>
      <c r="K406" s="1442">
        <v>46176</v>
      </c>
      <c r="L406" s="1442">
        <v>46182</v>
      </c>
      <c r="M406" s="1442">
        <v>46182</v>
      </c>
      <c r="N406" t="s">
        <v>973</v>
      </c>
      <c r="O406" s="1442">
        <v>46196</v>
      </c>
      <c r="P406" s="1442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1442">
        <v>46129</v>
      </c>
      <c r="K407" s="1442">
        <v>46176</v>
      </c>
      <c r="L407" s="1442">
        <v>46182</v>
      </c>
      <c r="M407" s="1442">
        <v>46182</v>
      </c>
      <c r="N407" t="s">
        <v>973</v>
      </c>
      <c r="O407" s="1442">
        <v>46196</v>
      </c>
      <c r="P407" s="1442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1442">
        <v>46131</v>
      </c>
      <c r="K408" s="1442">
        <v>46172</v>
      </c>
      <c r="L408" s="1442">
        <v>46175</v>
      </c>
      <c r="M408" s="1442">
        <v>46175</v>
      </c>
      <c r="N408" t="s">
        <v>973</v>
      </c>
      <c r="O408" s="1442">
        <v>46189</v>
      </c>
      <c r="P408" s="1442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1442">
        <v>46131</v>
      </c>
      <c r="K409" s="1442">
        <v>46192</v>
      </c>
      <c r="L409" s="1442">
        <v>46188</v>
      </c>
      <c r="M409" s="1442">
        <v>46190</v>
      </c>
      <c r="N409" t="s">
        <v>973</v>
      </c>
      <c r="O409" s="1442">
        <v>46192</v>
      </c>
      <c r="P409" s="1442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1442">
        <v>46131</v>
      </c>
      <c r="K410" s="1442">
        <v>46192</v>
      </c>
      <c r="L410" s="1442">
        <v>46188</v>
      </c>
      <c r="M410" s="1442">
        <v>46190</v>
      </c>
      <c r="N410" t="s">
        <v>973</v>
      </c>
      <c r="O410" s="1442">
        <v>46192</v>
      </c>
      <c r="P410" s="1442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1442">
        <v>46131</v>
      </c>
      <c r="K411" s="1442">
        <v>46182</v>
      </c>
      <c r="L411" s="1442">
        <v>46196</v>
      </c>
      <c r="M411" s="1442">
        <v>46190</v>
      </c>
      <c r="N411" t="s">
        <v>973</v>
      </c>
      <c r="O411" s="1442">
        <v>46203</v>
      </c>
      <c r="P411" s="1442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1442">
        <v>46131</v>
      </c>
      <c r="K412" s="1442">
        <v>46182</v>
      </c>
      <c r="L412" s="1442">
        <v>46196</v>
      </c>
      <c r="M412" s="1442">
        <v>46190</v>
      </c>
      <c r="N412" t="s">
        <v>973</v>
      </c>
      <c r="O412" s="1442">
        <v>46203</v>
      </c>
      <c r="P412" s="1442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1442">
        <v>46084</v>
      </c>
      <c r="K413" s="1442">
        <v>46126</v>
      </c>
      <c r="L413" s="1442">
        <v>46142</v>
      </c>
      <c r="M413" s="1442">
        <v>46141</v>
      </c>
      <c r="N413" t="s">
        <v>973</v>
      </c>
      <c r="O413" s="1442">
        <v>46153</v>
      </c>
      <c r="P413" s="1442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1442">
        <v>46088</v>
      </c>
      <c r="K414" s="1442">
        <v>46133</v>
      </c>
      <c r="L414" s="1442">
        <v>46142</v>
      </c>
      <c r="M414" s="1442">
        <v>46141</v>
      </c>
      <c r="N414" t="s">
        <v>973</v>
      </c>
      <c r="O414" s="1442">
        <v>46146</v>
      </c>
      <c r="P414" s="1442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1442">
        <v>46088</v>
      </c>
      <c r="K415" s="1442">
        <v>46133</v>
      </c>
      <c r="L415" s="1442">
        <v>46142</v>
      </c>
      <c r="M415" s="1442">
        <v>46141</v>
      </c>
      <c r="N415" t="s">
        <v>973</v>
      </c>
      <c r="O415" s="1442">
        <v>46146</v>
      </c>
      <c r="P415" s="1442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1442">
        <v>46088</v>
      </c>
      <c r="K416" s="1442">
        <v>46133</v>
      </c>
      <c r="L416" s="1442">
        <v>46142</v>
      </c>
      <c r="M416" s="1442">
        <v>46141</v>
      </c>
      <c r="N416" t="s">
        <v>973</v>
      </c>
      <c r="O416" s="1442">
        <v>46146</v>
      </c>
      <c r="P416" s="1442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1442">
        <v>46088</v>
      </c>
      <c r="K417" s="1442">
        <v>46133</v>
      </c>
      <c r="L417" s="1442">
        <v>46142</v>
      </c>
      <c r="M417" s="1442">
        <v>46141</v>
      </c>
      <c r="N417" t="s">
        <v>973</v>
      </c>
      <c r="O417" s="1442">
        <v>46146</v>
      </c>
      <c r="P417" s="1442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1442">
        <v>46031</v>
      </c>
      <c r="K418" s="1442">
        <v>46080</v>
      </c>
      <c r="L418" s="1442">
        <v>46111</v>
      </c>
      <c r="M418" s="1442">
        <v>46111</v>
      </c>
      <c r="N418" t="s">
        <v>84</v>
      </c>
      <c r="O418" s="1442">
        <v>46146</v>
      </c>
      <c r="P418" s="1442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1442">
        <v>46128</v>
      </c>
      <c r="K419" s="1442">
        <v>46182</v>
      </c>
      <c r="L419" s="1442">
        <v>46196</v>
      </c>
      <c r="M419" s="1442">
        <v>46203</v>
      </c>
      <c r="N419" t="s">
        <v>973</v>
      </c>
      <c r="O419" s="1442">
        <v>46210</v>
      </c>
      <c r="P419" s="1442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1442">
        <v>46128</v>
      </c>
      <c r="K420" s="1442">
        <v>46182</v>
      </c>
      <c r="L420" s="1442">
        <v>46196</v>
      </c>
      <c r="M420" s="1442">
        <v>46203</v>
      </c>
      <c r="N420" t="s">
        <v>973</v>
      </c>
      <c r="O420" s="1442">
        <v>46209</v>
      </c>
      <c r="P420" s="1442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1442">
        <v>46133</v>
      </c>
      <c r="K421" s="1442">
        <v>46195</v>
      </c>
      <c r="L421" s="1442">
        <v>46200</v>
      </c>
      <c r="M421" s="1442">
        <v>46203</v>
      </c>
      <c r="N421" t="s">
        <v>973</v>
      </c>
      <c r="O421" s="1442">
        <v>46216</v>
      </c>
      <c r="P421" s="1442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1442">
        <v>46084</v>
      </c>
      <c r="K422" s="1442">
        <v>46126</v>
      </c>
      <c r="L422" s="1442">
        <v>46142</v>
      </c>
      <c r="M422" s="1442">
        <v>46141</v>
      </c>
      <c r="N422" t="s">
        <v>973</v>
      </c>
      <c r="O422" s="1442">
        <v>46153</v>
      </c>
      <c r="P422" s="1442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1442">
        <v>46134</v>
      </c>
      <c r="K423" s="1442">
        <v>46175</v>
      </c>
      <c r="L423" s="1442">
        <v>46188</v>
      </c>
      <c r="M423" s="1442">
        <v>46191</v>
      </c>
      <c r="N423" t="s">
        <v>973</v>
      </c>
      <c r="O423" s="1442">
        <v>46205</v>
      </c>
      <c r="P423" s="1442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1442">
        <v>46134</v>
      </c>
      <c r="K424" s="1442">
        <v>46175</v>
      </c>
      <c r="L424" s="1442">
        <v>46188</v>
      </c>
      <c r="M424" s="1442">
        <v>46191</v>
      </c>
      <c r="N424" t="s">
        <v>973</v>
      </c>
      <c r="O424" s="1442">
        <v>46205</v>
      </c>
      <c r="P424" s="1442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1442">
        <v>46136</v>
      </c>
      <c r="K425" s="1442">
        <v>46183</v>
      </c>
      <c r="L425" s="1442">
        <v>46190</v>
      </c>
      <c r="M425" s="1442">
        <v>46190</v>
      </c>
      <c r="N425" t="s">
        <v>973</v>
      </c>
      <c r="O425" s="1442">
        <v>46204</v>
      </c>
      <c r="P425" s="1442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1442">
        <v>46136</v>
      </c>
      <c r="K426" s="1442">
        <v>46183</v>
      </c>
      <c r="L426" s="1442">
        <v>46190</v>
      </c>
      <c r="M426" s="1442">
        <v>46190</v>
      </c>
      <c r="N426" t="s">
        <v>973</v>
      </c>
      <c r="O426" s="1442">
        <v>46204</v>
      </c>
      <c r="P426" s="1442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1442">
        <v>46136</v>
      </c>
      <c r="K427" s="1442">
        <v>46183</v>
      </c>
      <c r="L427" s="1442">
        <v>46190</v>
      </c>
      <c r="M427" s="1442">
        <v>46190</v>
      </c>
      <c r="N427" t="s">
        <v>973</v>
      </c>
      <c r="O427" s="1442">
        <v>46204</v>
      </c>
      <c r="P427" s="1442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1442">
        <v>46139</v>
      </c>
      <c r="K428" s="1442">
        <v>46180</v>
      </c>
      <c r="L428" s="1442">
        <v>46190</v>
      </c>
      <c r="M428" s="1442">
        <v>46194</v>
      </c>
      <c r="N428" t="s">
        <v>973</v>
      </c>
      <c r="O428" s="1442">
        <v>46205</v>
      </c>
      <c r="P428" s="1442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1442">
        <v>46138</v>
      </c>
      <c r="K429" s="1442">
        <v>46188</v>
      </c>
      <c r="L429" s="1442">
        <v>46188</v>
      </c>
      <c r="M429" s="1442">
        <v>46195</v>
      </c>
      <c r="N429" t="s">
        <v>973</v>
      </c>
      <c r="O429" s="1442">
        <v>46203</v>
      </c>
      <c r="P429" s="1442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1442">
        <v>46138</v>
      </c>
      <c r="K430" s="1442">
        <v>46196</v>
      </c>
      <c r="L430" s="1442">
        <v>46207</v>
      </c>
      <c r="M430" s="1442">
        <v>46207</v>
      </c>
      <c r="N430" t="s">
        <v>973</v>
      </c>
      <c r="O430" s="1442">
        <v>46220</v>
      </c>
      <c r="P430" s="1442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1442">
        <v>46137</v>
      </c>
      <c r="K431" s="1442">
        <v>46187</v>
      </c>
      <c r="L431" s="1442">
        <v>46193</v>
      </c>
      <c r="M431" s="1442">
        <v>46195</v>
      </c>
      <c r="N431" t="s">
        <v>973</v>
      </c>
      <c r="O431" s="1442">
        <v>46206</v>
      </c>
      <c r="P431" s="1442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1442">
        <v>46137</v>
      </c>
      <c r="K432" s="1442">
        <v>46182</v>
      </c>
      <c r="L432" s="1442">
        <v>46182</v>
      </c>
      <c r="M432" s="1442">
        <v>46193</v>
      </c>
      <c r="N432" t="s">
        <v>973</v>
      </c>
      <c r="O432" s="1442">
        <v>46178</v>
      </c>
      <c r="P432" s="1442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1442">
        <v>46132</v>
      </c>
      <c r="K433" s="1442">
        <v>46183</v>
      </c>
      <c r="L433" s="1442">
        <v>46189</v>
      </c>
      <c r="M433" s="1442">
        <v>46191</v>
      </c>
      <c r="N433" t="s">
        <v>973</v>
      </c>
      <c r="O433" s="1442">
        <v>46204</v>
      </c>
      <c r="P433" s="1442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1442">
        <v>46138</v>
      </c>
      <c r="K434" s="1442">
        <v>46182</v>
      </c>
      <c r="L434" s="1442">
        <v>46185</v>
      </c>
      <c r="M434" s="1442">
        <v>46189</v>
      </c>
      <c r="N434" t="s">
        <v>973</v>
      </c>
      <c r="O434" s="1442">
        <v>46203</v>
      </c>
      <c r="P434" s="1442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1442">
        <v>46138</v>
      </c>
      <c r="K435" s="1442">
        <v>46186</v>
      </c>
      <c r="L435" s="1442">
        <v>46186</v>
      </c>
      <c r="M435" s="1442">
        <v>46189</v>
      </c>
      <c r="N435" t="s">
        <v>973</v>
      </c>
      <c r="O435" s="1442">
        <v>46202</v>
      </c>
      <c r="P435" s="1442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1442">
        <v>46139</v>
      </c>
      <c r="K436" s="1442">
        <v>46207</v>
      </c>
      <c r="L436" s="1442">
        <v>46200</v>
      </c>
      <c r="M436" s="1442">
        <v>46200</v>
      </c>
      <c r="N436" t="s">
        <v>973</v>
      </c>
      <c r="O436" s="1442">
        <v>46213</v>
      </c>
      <c r="P436" s="1442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1442">
        <v>46136</v>
      </c>
      <c r="K437" s="1442">
        <v>46192</v>
      </c>
      <c r="L437" s="1442">
        <v>46196</v>
      </c>
      <c r="M437" s="1442">
        <v>46198</v>
      </c>
      <c r="N437" t="s">
        <v>973</v>
      </c>
      <c r="O437" s="1442">
        <v>46210</v>
      </c>
      <c r="P437" s="1442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1442">
        <v>46136</v>
      </c>
      <c r="K438" s="1442">
        <v>46192</v>
      </c>
      <c r="L438" s="1442">
        <v>46196</v>
      </c>
      <c r="M438" s="1442">
        <v>46198</v>
      </c>
      <c r="N438" t="s">
        <v>973</v>
      </c>
      <c r="O438" s="1442">
        <v>46210</v>
      </c>
      <c r="P438" s="1442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1442">
        <v>46136</v>
      </c>
      <c r="K439" s="1442">
        <v>46192</v>
      </c>
      <c r="L439" s="1442">
        <v>46196</v>
      </c>
      <c r="M439" s="1442">
        <v>46198</v>
      </c>
      <c r="N439" t="s">
        <v>973</v>
      </c>
      <c r="O439" s="1442">
        <v>46210</v>
      </c>
      <c r="P439" s="1442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1442">
        <v>46136</v>
      </c>
      <c r="K440" s="1442">
        <v>46192</v>
      </c>
      <c r="L440" s="1442">
        <v>46196</v>
      </c>
      <c r="M440" s="1442">
        <v>46198</v>
      </c>
      <c r="N440" t="s">
        <v>973</v>
      </c>
      <c r="O440" s="1442">
        <v>46210</v>
      </c>
      <c r="P440" s="1442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1442">
        <v>46136</v>
      </c>
      <c r="K441" s="1442">
        <v>46192</v>
      </c>
      <c r="L441" s="1442">
        <v>46196</v>
      </c>
      <c r="M441" s="1442">
        <v>46198</v>
      </c>
      <c r="N441" t="s">
        <v>973</v>
      </c>
      <c r="O441" s="1442">
        <v>46210</v>
      </c>
      <c r="P441" s="1442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1442">
        <v>46136</v>
      </c>
      <c r="K442" s="1442">
        <v>46192</v>
      </c>
      <c r="L442" s="1442">
        <v>46196</v>
      </c>
      <c r="M442" s="1442">
        <v>46198</v>
      </c>
      <c r="N442" t="s">
        <v>973</v>
      </c>
      <c r="O442" s="1442">
        <v>46209</v>
      </c>
      <c r="P442" s="1442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1442">
        <v>46139</v>
      </c>
      <c r="K443" s="1442">
        <v>46175</v>
      </c>
      <c r="L443" s="1442">
        <v>46179</v>
      </c>
      <c r="M443" s="1442">
        <v>46180</v>
      </c>
      <c r="N443" t="s">
        <v>973</v>
      </c>
      <c r="O443" s="1442">
        <v>46192</v>
      </c>
      <c r="P443" s="1442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1442">
        <v>46139</v>
      </c>
      <c r="K444" s="1442">
        <v>46175</v>
      </c>
      <c r="L444" s="1442">
        <v>46179</v>
      </c>
      <c r="M444" s="1442">
        <v>46180</v>
      </c>
      <c r="N444" t="s">
        <v>973</v>
      </c>
      <c r="O444" s="1442">
        <v>46192</v>
      </c>
      <c r="P444" s="1442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1442">
        <v>46103</v>
      </c>
      <c r="K445" s="1442">
        <v>46161</v>
      </c>
      <c r="L445" s="1442">
        <v>46182</v>
      </c>
      <c r="M445" s="1442">
        <v>46183</v>
      </c>
      <c r="N445" t="s">
        <v>973</v>
      </c>
      <c r="O445" s="1442">
        <v>46196</v>
      </c>
      <c r="P445" s="1442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1442">
        <v>46139</v>
      </c>
      <c r="K446" s="1442">
        <v>46184</v>
      </c>
      <c r="L446" s="1442">
        <v>46177</v>
      </c>
      <c r="M446" s="1442">
        <v>46178</v>
      </c>
      <c r="N446" t="s">
        <v>973</v>
      </c>
      <c r="O446" s="1442">
        <v>46191</v>
      </c>
      <c r="P446" s="1442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1442">
        <v>46140</v>
      </c>
      <c r="K447" s="1442">
        <v>46199</v>
      </c>
      <c r="L447" s="1442">
        <v>46201</v>
      </c>
      <c r="M447" s="1442">
        <v>46198</v>
      </c>
      <c r="N447" t="s">
        <v>973</v>
      </c>
      <c r="O447" s="1442">
        <v>46212</v>
      </c>
      <c r="P447" s="1442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1442">
        <v>46136</v>
      </c>
      <c r="K448" s="1442">
        <v>46188</v>
      </c>
      <c r="L448" s="1442">
        <v>46184</v>
      </c>
      <c r="M448" s="1442">
        <v>46184</v>
      </c>
      <c r="N448" t="s">
        <v>973</v>
      </c>
      <c r="O448" s="1442">
        <v>46199</v>
      </c>
      <c r="P448" s="1442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1442">
        <v>46096</v>
      </c>
      <c r="K449" s="1442">
        <v>46133</v>
      </c>
      <c r="L449" s="1442">
        <v>46150</v>
      </c>
      <c r="M449" s="1442">
        <v>46148</v>
      </c>
      <c r="N449" t="s">
        <v>973</v>
      </c>
      <c r="O449" s="1442">
        <v>46139</v>
      </c>
      <c r="P449" s="1442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1442">
        <v>46096</v>
      </c>
      <c r="K450" s="1442">
        <v>46133</v>
      </c>
      <c r="L450" s="1442">
        <v>46150</v>
      </c>
      <c r="M450" s="1442">
        <v>46148</v>
      </c>
      <c r="N450" t="s">
        <v>973</v>
      </c>
      <c r="O450" s="1442">
        <v>46164</v>
      </c>
      <c r="P450" s="1442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1442">
        <v>46088</v>
      </c>
      <c r="K451" s="1442">
        <v>46133</v>
      </c>
      <c r="L451" s="1442">
        <v>46142</v>
      </c>
      <c r="M451" s="1442">
        <v>46141</v>
      </c>
      <c r="N451" t="s">
        <v>973</v>
      </c>
      <c r="O451" s="1442">
        <v>46146</v>
      </c>
      <c r="P451" s="1442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1442">
        <v>46088</v>
      </c>
      <c r="K452" s="1442">
        <v>46133</v>
      </c>
      <c r="L452" s="1442">
        <v>46142</v>
      </c>
      <c r="M452" s="1442">
        <v>46141</v>
      </c>
      <c r="N452" t="s">
        <v>973</v>
      </c>
      <c r="O452" s="1442">
        <v>46146</v>
      </c>
      <c r="P452" s="1442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1442">
        <v>46088</v>
      </c>
      <c r="K453" s="1442">
        <v>46133</v>
      </c>
      <c r="L453" s="1442">
        <v>46142</v>
      </c>
      <c r="M453" s="1442">
        <v>46141</v>
      </c>
      <c r="N453" t="s">
        <v>973</v>
      </c>
      <c r="O453" s="1442">
        <v>46146</v>
      </c>
      <c r="P453" s="1442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1442">
        <v>46110</v>
      </c>
      <c r="K454" s="1442">
        <v>46147</v>
      </c>
      <c r="L454" s="1442">
        <v>46154</v>
      </c>
      <c r="M454" s="1442">
        <v>46157</v>
      </c>
      <c r="N454" t="s">
        <v>973</v>
      </c>
      <c r="O454" s="1442">
        <v>46139</v>
      </c>
      <c r="P454" s="1442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1442">
        <v>46110</v>
      </c>
      <c r="K455" s="1442">
        <v>46147</v>
      </c>
      <c r="L455" s="1442">
        <v>46154</v>
      </c>
      <c r="M455" s="1442">
        <v>46157</v>
      </c>
      <c r="N455" t="s">
        <v>973</v>
      </c>
      <c r="O455" s="1442">
        <v>46167</v>
      </c>
      <c r="P455" s="1442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1442">
        <v>46110</v>
      </c>
      <c r="K456" s="1442">
        <v>46147</v>
      </c>
      <c r="L456" s="1442">
        <v>46154</v>
      </c>
      <c r="M456" s="1442">
        <v>46157</v>
      </c>
      <c r="N456" t="s">
        <v>973</v>
      </c>
      <c r="O456" s="1442">
        <v>46173</v>
      </c>
      <c r="P456" s="1442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1442">
        <v>46124</v>
      </c>
      <c r="K457" s="1442">
        <v>46161</v>
      </c>
      <c r="L457" s="1442">
        <v>46172</v>
      </c>
      <c r="M457" s="1442">
        <v>46174</v>
      </c>
      <c r="N457" t="s">
        <v>973</v>
      </c>
      <c r="O457" s="1442">
        <v>46168</v>
      </c>
      <c r="P457" s="1442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1442">
        <v>46124</v>
      </c>
      <c r="K458" s="1442">
        <v>46169</v>
      </c>
      <c r="L458" s="1442">
        <v>46172</v>
      </c>
      <c r="M458" s="1442">
        <v>46170</v>
      </c>
      <c r="N458" t="s">
        <v>973</v>
      </c>
      <c r="O458" s="1442">
        <v>46184</v>
      </c>
      <c r="P458" s="1442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1442">
        <v>46144</v>
      </c>
      <c r="K459" s="1442">
        <v>46208</v>
      </c>
      <c r="L459" s="1442">
        <v>46206</v>
      </c>
      <c r="M459" s="1442">
        <v>46207</v>
      </c>
      <c r="N459" t="s">
        <v>973</v>
      </c>
      <c r="O459" s="1442">
        <v>46203</v>
      </c>
      <c r="P459" s="1442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1442">
        <v>46144</v>
      </c>
      <c r="K460" s="1442">
        <v>46208</v>
      </c>
      <c r="L460" s="1442">
        <v>46206</v>
      </c>
      <c r="M460" s="1442">
        <v>46207</v>
      </c>
      <c r="N460" t="s">
        <v>973</v>
      </c>
      <c r="O460" s="1442">
        <v>46203</v>
      </c>
      <c r="P460" s="1442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1442">
        <v>46143</v>
      </c>
      <c r="K461" s="1442">
        <v>46190</v>
      </c>
      <c r="L461" s="1442">
        <v>46197</v>
      </c>
      <c r="M461" s="1442">
        <v>46198</v>
      </c>
      <c r="N461" t="s">
        <v>973</v>
      </c>
      <c r="O461" s="1442">
        <v>46212</v>
      </c>
      <c r="P461" s="1442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1442">
        <v>46143</v>
      </c>
      <c r="K462" s="1442">
        <v>46190</v>
      </c>
      <c r="L462" s="1442">
        <v>46197</v>
      </c>
      <c r="M462" s="1442">
        <v>46198</v>
      </c>
      <c r="N462" t="s">
        <v>973</v>
      </c>
      <c r="O462" s="1442">
        <v>46212</v>
      </c>
      <c r="P462" s="1442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1442">
        <v>46144</v>
      </c>
      <c r="K463" s="1442">
        <v>46186</v>
      </c>
      <c r="L463" s="1442">
        <v>46200</v>
      </c>
      <c r="M463" s="1442">
        <v>46201</v>
      </c>
      <c r="N463" t="s">
        <v>973</v>
      </c>
      <c r="O463" s="1442">
        <v>46213</v>
      </c>
      <c r="P463" s="1442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1442">
        <v>46144</v>
      </c>
      <c r="K464" s="1442">
        <v>46186</v>
      </c>
      <c r="L464" s="1442">
        <v>46200</v>
      </c>
      <c r="M464" s="1442">
        <v>46201</v>
      </c>
      <c r="N464" t="s">
        <v>973</v>
      </c>
      <c r="O464" s="1442">
        <v>46213</v>
      </c>
      <c r="P464" s="1442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1442">
        <v>46144</v>
      </c>
      <c r="K465" s="1442">
        <v>46186</v>
      </c>
      <c r="L465" s="1442">
        <v>46200</v>
      </c>
      <c r="M465" s="1442">
        <v>46201</v>
      </c>
      <c r="N465" t="s">
        <v>973</v>
      </c>
      <c r="O465" s="1442">
        <v>46213</v>
      </c>
      <c r="P465" s="1442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1442">
        <v>46144</v>
      </c>
      <c r="K466" s="1442">
        <v>46197</v>
      </c>
      <c r="L466" s="1442">
        <v>46214</v>
      </c>
      <c r="M466" s="1442">
        <v>46213</v>
      </c>
      <c r="N466" t="s">
        <v>973</v>
      </c>
      <c r="O466" s="1442">
        <v>46231</v>
      </c>
      <c r="P466" s="1442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1442">
        <v>46144</v>
      </c>
      <c r="K467" s="1442">
        <v>46197</v>
      </c>
      <c r="L467" s="1442">
        <v>46214</v>
      </c>
      <c r="M467" s="1442">
        <v>46213</v>
      </c>
      <c r="N467" t="s">
        <v>973</v>
      </c>
      <c r="O467" s="1442">
        <v>46231</v>
      </c>
      <c r="P467" s="1442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1442">
        <v>46146</v>
      </c>
      <c r="K468" s="1442">
        <v>46189</v>
      </c>
      <c r="L468" s="1442">
        <v>46197</v>
      </c>
      <c r="M468" s="1442">
        <v>46197</v>
      </c>
      <c r="N468" t="s">
        <v>973</v>
      </c>
      <c r="O468" s="1442">
        <v>46211</v>
      </c>
      <c r="P468" s="1442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1442">
        <v>46146</v>
      </c>
      <c r="K469" s="1442">
        <v>46200</v>
      </c>
      <c r="L469" s="1442">
        <v>46200</v>
      </c>
      <c r="M469" s="1442">
        <v>46202</v>
      </c>
      <c r="N469" t="s">
        <v>973</v>
      </c>
      <c r="O469" s="1442">
        <v>46216</v>
      </c>
      <c r="P469" s="1442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1442">
        <v>46146</v>
      </c>
      <c r="K470" s="1442">
        <v>46204</v>
      </c>
      <c r="L470" s="1442">
        <v>46211</v>
      </c>
      <c r="M470" s="1442">
        <v>46211</v>
      </c>
      <c r="N470" t="s">
        <v>973</v>
      </c>
      <c r="O470" s="1442">
        <v>46204</v>
      </c>
      <c r="P470" s="1442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1442">
        <v>46147</v>
      </c>
      <c r="K471" s="1442">
        <v>46184</v>
      </c>
      <c r="L471" s="1442">
        <v>46185</v>
      </c>
      <c r="M471" s="1442">
        <v>46192</v>
      </c>
      <c r="N471" t="s">
        <v>973</v>
      </c>
      <c r="O471" s="1442">
        <v>46206</v>
      </c>
      <c r="P471" s="1442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1442">
        <v>46147</v>
      </c>
      <c r="K472" s="1442">
        <v>46206</v>
      </c>
      <c r="L472" s="1442"/>
      <c r="M472" s="1442">
        <v>46205</v>
      </c>
      <c r="N472" t="s">
        <v>973</v>
      </c>
      <c r="O472" s="1442">
        <v>46219</v>
      </c>
      <c r="P472" s="1442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1442">
        <v>46144</v>
      </c>
      <c r="K473" s="1442">
        <v>46186</v>
      </c>
      <c r="L473" s="1442">
        <v>46200</v>
      </c>
      <c r="M473" s="1442">
        <v>46201</v>
      </c>
      <c r="N473" t="s">
        <v>973</v>
      </c>
      <c r="O473" s="1442">
        <v>46213</v>
      </c>
      <c r="P473" s="1442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1442">
        <v>46147</v>
      </c>
      <c r="K474" s="1442">
        <v>46189</v>
      </c>
      <c r="L474" s="1442">
        <v>46196</v>
      </c>
      <c r="M474" s="1442">
        <v>46196</v>
      </c>
      <c r="N474" t="s">
        <v>973</v>
      </c>
      <c r="O474" s="1442">
        <v>46209</v>
      </c>
      <c r="P474" s="1442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1442">
        <v>46144</v>
      </c>
      <c r="K475" s="1442">
        <v>46186</v>
      </c>
      <c r="L475" s="1442">
        <v>46200</v>
      </c>
      <c r="M475" s="1442">
        <v>46201</v>
      </c>
      <c r="N475" t="s">
        <v>973</v>
      </c>
      <c r="O475" s="1442">
        <v>46213</v>
      </c>
      <c r="P475" s="1442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1442">
        <v>46144</v>
      </c>
      <c r="K476" s="1442">
        <v>46186</v>
      </c>
      <c r="L476" s="1442">
        <v>46200</v>
      </c>
      <c r="M476" s="1442">
        <v>46201</v>
      </c>
      <c r="N476" t="s">
        <v>973</v>
      </c>
      <c r="O476" s="1442">
        <v>46213</v>
      </c>
      <c r="P476" s="1442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1442">
        <v>46144</v>
      </c>
      <c r="K477" s="1442">
        <v>46181</v>
      </c>
      <c r="L477" s="1442">
        <v>46183</v>
      </c>
      <c r="M477" s="1442">
        <v>46183</v>
      </c>
      <c r="N477" t="s">
        <v>973</v>
      </c>
      <c r="O477" s="1442">
        <v>46198</v>
      </c>
      <c r="P477" s="1442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1442">
        <v>46148</v>
      </c>
      <c r="K478" s="1442">
        <v>46199</v>
      </c>
      <c r="L478" s="1442">
        <v>46210</v>
      </c>
      <c r="M478" s="1442">
        <v>46211</v>
      </c>
      <c r="N478" t="s">
        <v>973</v>
      </c>
      <c r="O478" s="1442">
        <v>46231</v>
      </c>
      <c r="P478" s="1442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1442">
        <v>46148</v>
      </c>
      <c r="K479" s="1442">
        <v>46199</v>
      </c>
      <c r="L479" s="1442">
        <v>46210</v>
      </c>
      <c r="M479" s="1442">
        <v>46211</v>
      </c>
      <c r="N479" t="s">
        <v>973</v>
      </c>
      <c r="O479" s="1442">
        <v>46231</v>
      </c>
      <c r="P479" s="1442">
        <v>46218</v>
      </c>
    </row>
    <row r="480" spans="1:16">
      <c r="A480" t="s">
        <v>4440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4441</v>
      </c>
      <c r="J480" s="1442">
        <v>46148</v>
      </c>
      <c r="K480" s="1442">
        <v>46205</v>
      </c>
      <c r="L480" s="1442"/>
      <c r="M480" s="1442">
        <v>46205</v>
      </c>
      <c r="N480" t="s">
        <v>973</v>
      </c>
      <c r="O480" s="1442">
        <v>46218</v>
      </c>
      <c r="P480" s="1442">
        <v>46214</v>
      </c>
    </row>
    <row r="481" spans="1:16">
      <c r="A481" t="s">
        <v>4419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4420</v>
      </c>
      <c r="J481" s="1442">
        <v>46148</v>
      </c>
      <c r="K481" s="1442">
        <v>46201</v>
      </c>
      <c r="L481" s="1442">
        <v>46208</v>
      </c>
      <c r="M481" s="1442">
        <v>46208</v>
      </c>
      <c r="N481" t="s">
        <v>973</v>
      </c>
      <c r="O481" s="1442">
        <v>46223</v>
      </c>
      <c r="P481" s="1442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1442">
        <v>46152</v>
      </c>
      <c r="K482" s="1442">
        <v>46189</v>
      </c>
      <c r="L482" s="1442">
        <v>46197</v>
      </c>
      <c r="M482" s="1442">
        <v>46197</v>
      </c>
      <c r="N482" t="s">
        <v>973</v>
      </c>
      <c r="O482" s="1442">
        <v>46211</v>
      </c>
      <c r="P482" s="1442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1442">
        <v>46150</v>
      </c>
      <c r="K483" s="1442">
        <v>46191</v>
      </c>
      <c r="L483" s="1442">
        <v>46196</v>
      </c>
      <c r="M483" s="1442">
        <v>46196</v>
      </c>
      <c r="N483" t="s">
        <v>973</v>
      </c>
      <c r="O483" s="1442">
        <v>46191</v>
      </c>
      <c r="P483" s="1442">
        <v>46196</v>
      </c>
    </row>
    <row r="484" spans="1:16">
      <c r="A484" t="s">
        <v>4436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4437</v>
      </c>
      <c r="J484" s="1442">
        <v>46155</v>
      </c>
      <c r="K484" s="1442">
        <v>46204</v>
      </c>
      <c r="L484" s="1442"/>
      <c r="M484" s="1442">
        <v>46204</v>
      </c>
      <c r="N484" t="s">
        <v>973</v>
      </c>
      <c r="O484" s="1442">
        <v>46218</v>
      </c>
      <c r="P484" s="1442">
        <v>46213</v>
      </c>
    </row>
    <row r="485" spans="1:16">
      <c r="A485" t="s">
        <v>4428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4429</v>
      </c>
      <c r="J485" s="1442">
        <v>46155</v>
      </c>
      <c r="K485" s="1442">
        <v>46216</v>
      </c>
      <c r="L485" s="1442"/>
      <c r="M485" s="1442">
        <v>46215</v>
      </c>
      <c r="N485" t="s">
        <v>973</v>
      </c>
      <c r="O485" s="1442">
        <v>46230</v>
      </c>
      <c r="P485" s="1442">
        <v>46223</v>
      </c>
    </row>
    <row r="486" spans="1:16">
      <c r="A486" t="s">
        <v>4424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4425</v>
      </c>
      <c r="J486" s="1442">
        <v>46155</v>
      </c>
      <c r="K486" s="1442">
        <v>46196</v>
      </c>
      <c r="L486" s="1442"/>
      <c r="M486" s="1442">
        <v>46203</v>
      </c>
      <c r="N486" t="s">
        <v>973</v>
      </c>
      <c r="O486" s="1442">
        <v>46217</v>
      </c>
      <c r="P486" s="1442">
        <v>46210</v>
      </c>
    </row>
    <row r="487" spans="1:16">
      <c r="A487" t="s">
        <v>4432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4433</v>
      </c>
      <c r="J487" s="1442">
        <v>46155</v>
      </c>
      <c r="K487" s="1442">
        <v>46210</v>
      </c>
      <c r="L487" s="1442"/>
      <c r="M487" s="1442">
        <v>46211</v>
      </c>
      <c r="N487" t="s">
        <v>973</v>
      </c>
      <c r="O487" s="1442">
        <v>46225</v>
      </c>
      <c r="P487" s="1442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1442">
        <v>46155</v>
      </c>
      <c r="K488" s="1442">
        <v>46203</v>
      </c>
      <c r="L488" s="1442"/>
      <c r="M488" s="1442">
        <v>46202</v>
      </c>
      <c r="N488" t="s">
        <v>973</v>
      </c>
      <c r="O488" s="1442">
        <v>46217</v>
      </c>
      <c r="P488" s="1442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1442">
        <v>46157</v>
      </c>
      <c r="K489" s="1442">
        <v>46204</v>
      </c>
      <c r="L489" s="1442">
        <v>46205</v>
      </c>
      <c r="M489" s="1442">
        <v>46205</v>
      </c>
      <c r="N489" t="s">
        <v>973</v>
      </c>
      <c r="O489" s="1442">
        <v>46219</v>
      </c>
      <c r="P489" s="1442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1442">
        <v>46157</v>
      </c>
      <c r="K490" s="1442">
        <v>46204</v>
      </c>
      <c r="L490" s="1442">
        <v>46205</v>
      </c>
      <c r="M490" s="1442">
        <v>46205</v>
      </c>
      <c r="N490" t="s">
        <v>973</v>
      </c>
      <c r="O490" s="1442">
        <v>46219</v>
      </c>
      <c r="P490" s="1442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1442">
        <v>46129</v>
      </c>
      <c r="K491" s="1442">
        <v>46172</v>
      </c>
      <c r="L491" s="1442">
        <v>46179</v>
      </c>
      <c r="M491" s="1442">
        <v>46180</v>
      </c>
      <c r="N491" t="s">
        <v>973</v>
      </c>
      <c r="O491" s="1442">
        <v>46195</v>
      </c>
      <c r="P491" s="1442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1442">
        <v>46129</v>
      </c>
      <c r="K492" s="1442">
        <v>46172</v>
      </c>
      <c r="L492" s="1442">
        <v>46179</v>
      </c>
      <c r="M492" s="1442">
        <v>46180</v>
      </c>
      <c r="N492" t="s">
        <v>973</v>
      </c>
      <c r="O492" s="1442">
        <v>46178</v>
      </c>
      <c r="P492" s="1442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1442">
        <v>46129</v>
      </c>
      <c r="K493" s="1442">
        <v>46172</v>
      </c>
      <c r="L493" s="1442">
        <v>46179</v>
      </c>
      <c r="M493" s="1442">
        <v>46180</v>
      </c>
      <c r="N493" t="s">
        <v>973</v>
      </c>
      <c r="O493" s="1442">
        <v>46178</v>
      </c>
      <c r="P493" s="1442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1442">
        <v>46088</v>
      </c>
      <c r="K494" s="1442">
        <v>46133</v>
      </c>
      <c r="L494" s="1442">
        <v>46142</v>
      </c>
      <c r="M494" s="1442">
        <v>46141</v>
      </c>
      <c r="N494" t="s">
        <v>973</v>
      </c>
      <c r="O494" s="1442">
        <v>46154</v>
      </c>
      <c r="P494" s="1442">
        <v>46148</v>
      </c>
    </row>
    <row r="495" spans="1:16">
      <c r="A495" t="s">
        <v>4444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4446</v>
      </c>
      <c r="J495" s="1442">
        <v>46155</v>
      </c>
      <c r="K495" s="1442">
        <v>46208</v>
      </c>
      <c r="L495" s="1442">
        <v>46212</v>
      </c>
      <c r="M495" s="1442">
        <v>46212</v>
      </c>
      <c r="N495" t="s">
        <v>973</v>
      </c>
      <c r="O495" s="1442">
        <v>46239</v>
      </c>
      <c r="P495" s="1442">
        <v>46219</v>
      </c>
    </row>
    <row r="496" spans="1:16">
      <c r="A496" t="s">
        <v>4451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4452</v>
      </c>
      <c r="J496" s="1442">
        <v>46155</v>
      </c>
      <c r="K496" s="1442">
        <v>46208</v>
      </c>
      <c r="L496" s="1442">
        <v>46212</v>
      </c>
      <c r="M496" s="1442">
        <v>46212</v>
      </c>
      <c r="N496" t="s">
        <v>973</v>
      </c>
      <c r="O496" s="1442">
        <v>46239</v>
      </c>
      <c r="P496" s="1442">
        <v>46219</v>
      </c>
    </row>
    <row r="497" spans="1:16">
      <c r="A497" t="s">
        <v>4453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4454</v>
      </c>
      <c r="J497" s="1442">
        <v>46155</v>
      </c>
      <c r="K497" s="1442">
        <v>46208</v>
      </c>
      <c r="L497" s="1442">
        <v>46212</v>
      </c>
      <c r="M497" s="1442">
        <v>46212</v>
      </c>
      <c r="N497" t="s">
        <v>973</v>
      </c>
      <c r="O497" s="1442">
        <v>46239</v>
      </c>
      <c r="P497" s="1442">
        <v>46219</v>
      </c>
    </row>
    <row r="498" spans="1:16">
      <c r="A498" t="s">
        <v>4458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4459</v>
      </c>
      <c r="J498" s="1442">
        <v>46160</v>
      </c>
      <c r="K498" s="1442">
        <v>46201</v>
      </c>
      <c r="L498" s="1442"/>
      <c r="M498" s="1442">
        <v>46200</v>
      </c>
      <c r="N498" t="s">
        <v>973</v>
      </c>
      <c r="O498" s="1442">
        <v>46216</v>
      </c>
      <c r="P498" s="1442">
        <v>46207</v>
      </c>
    </row>
    <row r="499" spans="1:16">
      <c r="A499" t="s">
        <v>4463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4464</v>
      </c>
      <c r="J499" s="1442">
        <v>46158</v>
      </c>
      <c r="K499" s="1442">
        <v>46199</v>
      </c>
      <c r="L499" s="1442"/>
      <c r="M499" s="1442">
        <v>46202</v>
      </c>
      <c r="N499" t="s">
        <v>973</v>
      </c>
      <c r="O499" s="1442">
        <v>46217</v>
      </c>
      <c r="P499" s="1442">
        <v>46209</v>
      </c>
    </row>
    <row r="500" spans="1:16">
      <c r="A500" t="s">
        <v>4468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4470</v>
      </c>
      <c r="J500" s="1442">
        <v>46161</v>
      </c>
      <c r="K500" s="1442">
        <v>46196</v>
      </c>
      <c r="L500" s="1442"/>
      <c r="M500" s="1442">
        <v>46203</v>
      </c>
      <c r="N500" t="s">
        <v>973</v>
      </c>
      <c r="O500" s="1442">
        <v>46217</v>
      </c>
      <c r="P500" s="1442">
        <v>46210</v>
      </c>
    </row>
    <row r="501" spans="1:16">
      <c r="A501" t="s">
        <v>4473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4474</v>
      </c>
      <c r="J501" s="1442">
        <v>46161</v>
      </c>
      <c r="K501" s="1442">
        <v>46196</v>
      </c>
      <c r="L501" s="1442"/>
      <c r="M501" s="1442">
        <v>46203</v>
      </c>
      <c r="N501" t="s">
        <v>973</v>
      </c>
      <c r="O501" s="1442">
        <v>46217</v>
      </c>
      <c r="P501" s="1442">
        <v>46210</v>
      </c>
    </row>
    <row r="502" spans="1:16">
      <c r="A502" t="s">
        <v>4475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4476</v>
      </c>
      <c r="J502" s="1442">
        <v>46158</v>
      </c>
      <c r="K502" s="1442">
        <v>46202</v>
      </c>
      <c r="L502" s="1442">
        <v>46210</v>
      </c>
      <c r="M502" s="1442">
        <v>46211</v>
      </c>
      <c r="N502" t="s">
        <v>973</v>
      </c>
      <c r="O502" s="1442">
        <v>46225</v>
      </c>
      <c r="P502" s="1442">
        <v>46218</v>
      </c>
    </row>
    <row r="503" spans="1:16">
      <c r="A503" t="s">
        <v>4480</v>
      </c>
      <c r="B503" t="s">
        <v>64</v>
      </c>
      <c r="C503" t="s">
        <v>100</v>
      </c>
      <c r="D503" t="s">
        <v>4481</v>
      </c>
      <c r="E503" t="s">
        <v>4482</v>
      </c>
      <c r="F503" t="s">
        <v>4483</v>
      </c>
      <c r="G503">
        <v>720</v>
      </c>
      <c r="H503" t="s">
        <v>75</v>
      </c>
      <c r="I503" t="s">
        <v>4484</v>
      </c>
      <c r="J503" s="1442">
        <v>46160</v>
      </c>
      <c r="K503" s="1442">
        <v>46196</v>
      </c>
      <c r="L503" s="1442"/>
      <c r="M503" s="1442">
        <v>46203</v>
      </c>
      <c r="N503" t="s">
        <v>973</v>
      </c>
      <c r="O503" s="1442">
        <v>46217</v>
      </c>
      <c r="P503" s="1442">
        <v>46210</v>
      </c>
    </row>
    <row r="504" spans="1:16">
      <c r="A504" t="s">
        <v>4495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4497</v>
      </c>
      <c r="J504" s="1442">
        <v>46161</v>
      </c>
      <c r="K504" s="1442">
        <v>46203</v>
      </c>
      <c r="L504" s="1442">
        <v>46207</v>
      </c>
      <c r="M504" s="1442">
        <v>46207</v>
      </c>
      <c r="N504" t="s">
        <v>973</v>
      </c>
      <c r="O504" s="1442">
        <v>46220</v>
      </c>
      <c r="P504" s="1442">
        <v>46215</v>
      </c>
    </row>
    <row r="505" spans="1:16">
      <c r="A505" t="s">
        <v>4504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4505</v>
      </c>
      <c r="J505" s="1442">
        <v>46164</v>
      </c>
      <c r="K505" s="1442">
        <v>46211</v>
      </c>
      <c r="L505" s="1442">
        <v>46218</v>
      </c>
      <c r="M505" s="1442">
        <v>46217</v>
      </c>
      <c r="N505" t="s">
        <v>973</v>
      </c>
      <c r="O505" s="1442">
        <v>46232</v>
      </c>
      <c r="P505" s="1442">
        <v>46227</v>
      </c>
    </row>
    <row r="506" spans="1:16">
      <c r="A506" t="s">
        <v>4512</v>
      </c>
      <c r="B506" t="s">
        <v>144</v>
      </c>
      <c r="C506" t="s">
        <v>145</v>
      </c>
      <c r="D506" t="s">
        <v>4481</v>
      </c>
      <c r="E506" t="s">
        <v>4515</v>
      </c>
      <c r="F506" t="s">
        <v>4516</v>
      </c>
      <c r="G506">
        <v>2160</v>
      </c>
      <c r="H506" t="s">
        <v>75</v>
      </c>
      <c r="I506" t="s">
        <v>4517</v>
      </c>
      <c r="J506" s="1442">
        <v>46161</v>
      </c>
      <c r="K506" s="1442">
        <v>46205</v>
      </c>
      <c r="L506" s="1442"/>
      <c r="M506" s="1442">
        <v>46205</v>
      </c>
      <c r="N506" t="s">
        <v>973</v>
      </c>
      <c r="O506" s="1442">
        <v>46205</v>
      </c>
      <c r="P506" s="1442">
        <v>46205</v>
      </c>
    </row>
    <row r="507" spans="1:16">
      <c r="A507" t="s">
        <v>4521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4522</v>
      </c>
      <c r="J507" s="1442">
        <v>46161</v>
      </c>
      <c r="K507" s="1442">
        <v>46205</v>
      </c>
      <c r="L507" s="1442"/>
      <c r="M507" s="1442">
        <v>46205</v>
      </c>
      <c r="N507" t="s">
        <v>973</v>
      </c>
      <c r="O507" s="1442">
        <v>46219</v>
      </c>
      <c r="P507" s="1442">
        <v>46214</v>
      </c>
    </row>
    <row r="508" spans="1:16">
      <c r="A508" t="s">
        <v>4525</v>
      </c>
      <c r="B508" t="s">
        <v>64</v>
      </c>
      <c r="C508" t="s">
        <v>450</v>
      </c>
      <c r="D508" t="s">
        <v>4526</v>
      </c>
      <c r="E508" t="s">
        <v>1151</v>
      </c>
      <c r="F508" t="s">
        <v>421</v>
      </c>
      <c r="G508">
        <v>864</v>
      </c>
      <c r="H508" t="s">
        <v>75</v>
      </c>
      <c r="I508" t="s">
        <v>4528</v>
      </c>
      <c r="J508" s="1442">
        <v>46164</v>
      </c>
      <c r="K508" s="1442">
        <v>46216</v>
      </c>
      <c r="L508" s="1442"/>
      <c r="M508" s="1442">
        <v>46215</v>
      </c>
      <c r="N508" t="s">
        <v>973</v>
      </c>
      <c r="O508" s="1442">
        <v>46230</v>
      </c>
      <c r="P508" s="1442">
        <v>46222</v>
      </c>
    </row>
    <row r="509" spans="1:16">
      <c r="A509" t="s">
        <v>4532</v>
      </c>
      <c r="B509" t="s">
        <v>64</v>
      </c>
      <c r="C509" t="s">
        <v>100</v>
      </c>
      <c r="D509" t="s">
        <v>4526</v>
      </c>
      <c r="E509" t="s">
        <v>1151</v>
      </c>
      <c r="F509" t="s">
        <v>421</v>
      </c>
      <c r="G509">
        <v>4320</v>
      </c>
      <c r="H509" t="s">
        <v>75</v>
      </c>
      <c r="I509" t="s">
        <v>4533</v>
      </c>
      <c r="J509" s="1442">
        <v>46164</v>
      </c>
      <c r="K509" s="1442">
        <v>46203</v>
      </c>
      <c r="L509" s="1442">
        <v>46210</v>
      </c>
      <c r="M509" s="1442">
        <v>46211</v>
      </c>
      <c r="N509" t="s">
        <v>973</v>
      </c>
      <c r="O509" s="1442">
        <v>46225</v>
      </c>
      <c r="P509" s="1442">
        <v>46218</v>
      </c>
    </row>
    <row r="510" spans="1:16">
      <c r="A510" t="s">
        <v>4539</v>
      </c>
      <c r="B510" t="s">
        <v>144</v>
      </c>
      <c r="C510" t="s">
        <v>145</v>
      </c>
      <c r="D510" t="s">
        <v>4526</v>
      </c>
      <c r="E510" t="s">
        <v>71</v>
      </c>
      <c r="F510" t="s">
        <v>72</v>
      </c>
      <c r="G510">
        <v>864</v>
      </c>
      <c r="H510" t="s">
        <v>75</v>
      </c>
      <c r="I510" t="s">
        <v>4542</v>
      </c>
      <c r="J510" s="1442">
        <v>46164</v>
      </c>
      <c r="K510" s="1442">
        <v>46225</v>
      </c>
      <c r="L510" s="1442">
        <v>46226</v>
      </c>
      <c r="M510" s="1442">
        <v>46225</v>
      </c>
      <c r="N510" t="s">
        <v>973</v>
      </c>
      <c r="O510" s="1442">
        <v>46225</v>
      </c>
      <c r="P510" s="1442">
        <v>46225</v>
      </c>
    </row>
    <row r="511" spans="1:16">
      <c r="A511" t="s">
        <v>4536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4538</v>
      </c>
      <c r="J511" s="1442">
        <v>46164</v>
      </c>
      <c r="K511" s="1442">
        <v>46203</v>
      </c>
      <c r="L511" s="1442">
        <v>46210</v>
      </c>
      <c r="M511" s="1442">
        <v>46211</v>
      </c>
      <c r="N511" t="s">
        <v>973</v>
      </c>
      <c r="O511" s="1442">
        <v>46225</v>
      </c>
      <c r="P511" s="1442">
        <v>46218</v>
      </c>
    </row>
    <row r="512" spans="1:16">
      <c r="A512" t="s">
        <v>4555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4557</v>
      </c>
      <c r="J512" s="1442">
        <v>46164</v>
      </c>
      <c r="K512" s="1442">
        <v>46218</v>
      </c>
      <c r="L512" s="1442">
        <v>46220</v>
      </c>
      <c r="M512" s="1442">
        <v>46221</v>
      </c>
      <c r="N512" t="s">
        <v>973</v>
      </c>
      <c r="O512" s="1442">
        <v>46234</v>
      </c>
      <c r="P512" s="1442">
        <v>46230</v>
      </c>
    </row>
    <row r="513" spans="1:16">
      <c r="A513" t="s">
        <v>4560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4561</v>
      </c>
      <c r="J513" s="1442">
        <v>46164</v>
      </c>
      <c r="K513" s="1442">
        <v>46219</v>
      </c>
      <c r="L513" s="1442"/>
      <c r="M513" s="1442">
        <v>46219</v>
      </c>
      <c r="N513" t="s">
        <v>973</v>
      </c>
      <c r="O513" s="1442">
        <v>46233</v>
      </c>
      <c r="P513" s="1442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1442">
        <v>46158</v>
      </c>
      <c r="K514" s="1442">
        <v>46214</v>
      </c>
      <c r="L514" s="1442"/>
      <c r="M514" s="1442">
        <v>46217</v>
      </c>
      <c r="N514" t="s">
        <v>973</v>
      </c>
      <c r="O514" s="1442">
        <v>46227</v>
      </c>
      <c r="P514" s="1442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1442">
        <v>46156</v>
      </c>
      <c r="K515" s="1442">
        <v>46193</v>
      </c>
      <c r="L515" s="1442">
        <v>46212</v>
      </c>
      <c r="M515" s="1442">
        <v>46213</v>
      </c>
      <c r="N515" t="s">
        <v>973</v>
      </c>
      <c r="O515" s="1442">
        <v>46226</v>
      </c>
      <c r="P515" s="1442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1442">
        <v>46156</v>
      </c>
      <c r="K516" s="1442">
        <v>46193</v>
      </c>
      <c r="L516" s="1442">
        <v>46212</v>
      </c>
      <c r="M516" s="1442">
        <v>46213</v>
      </c>
      <c r="N516" t="s">
        <v>2434</v>
      </c>
      <c r="O516" s="1442">
        <v>46226</v>
      </c>
      <c r="P516" s="1442">
        <v>46220</v>
      </c>
    </row>
    <row r="517" spans="1:16">
      <c r="A517" t="s">
        <v>4501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4503</v>
      </c>
      <c r="J517" s="1442">
        <v>46161</v>
      </c>
      <c r="K517" s="1442">
        <v>46203</v>
      </c>
      <c r="L517" s="1442">
        <v>46207</v>
      </c>
      <c r="M517" s="1442">
        <v>46207</v>
      </c>
      <c r="N517" t="s">
        <v>973</v>
      </c>
      <c r="O517" s="1442">
        <v>46220</v>
      </c>
      <c r="P517" s="1442">
        <v>46215</v>
      </c>
    </row>
    <row r="518" spans="1:16">
      <c r="A518" t="s">
        <v>4487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4489</v>
      </c>
      <c r="J518" s="1442">
        <v>46164</v>
      </c>
      <c r="K518" s="1442">
        <v>46216</v>
      </c>
      <c r="L518" s="1442"/>
      <c r="M518" s="1442">
        <v>46215</v>
      </c>
      <c r="N518" t="s">
        <v>973</v>
      </c>
      <c r="O518" s="1442">
        <v>46230</v>
      </c>
      <c r="P518" s="1442">
        <v>46223</v>
      </c>
    </row>
    <row r="519" spans="1:16">
      <c r="A519" t="s">
        <v>4493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4494</v>
      </c>
      <c r="J519" s="1442">
        <v>46164</v>
      </c>
      <c r="K519" s="1442">
        <v>46216</v>
      </c>
      <c r="L519" s="1442"/>
      <c r="M519" s="1442">
        <v>46215</v>
      </c>
      <c r="N519" t="s">
        <v>973</v>
      </c>
      <c r="O519" s="1442">
        <v>46230</v>
      </c>
      <c r="P519" s="1442">
        <v>46223</v>
      </c>
    </row>
    <row r="520" spans="1:16">
      <c r="A520" t="s">
        <v>4652</v>
      </c>
      <c r="B520" t="s">
        <v>144</v>
      </c>
      <c r="C520" t="s">
        <v>145</v>
      </c>
      <c r="D520" t="s">
        <v>4526</v>
      </c>
      <c r="E520" t="s">
        <v>71</v>
      </c>
      <c r="F520" t="s">
        <v>72</v>
      </c>
      <c r="G520">
        <v>4320</v>
      </c>
      <c r="H520" t="s">
        <v>75</v>
      </c>
      <c r="I520" t="s">
        <v>4653</v>
      </c>
      <c r="J520" s="1442">
        <v>46164</v>
      </c>
      <c r="K520" s="1442">
        <v>46225</v>
      </c>
      <c r="L520" s="1442"/>
      <c r="M520" s="1442">
        <v>46225</v>
      </c>
      <c r="N520" t="s">
        <v>973</v>
      </c>
      <c r="O520" s="1442">
        <v>46225</v>
      </c>
      <c r="P520" s="1442">
        <v>46225</v>
      </c>
    </row>
    <row r="521" spans="1:16">
      <c r="A521" t="s">
        <v>4508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4509</v>
      </c>
      <c r="J521" s="1442">
        <v>46164</v>
      </c>
      <c r="K521" s="1442">
        <v>46211</v>
      </c>
      <c r="L521" s="1442">
        <v>46218</v>
      </c>
      <c r="M521" s="1442">
        <v>46217</v>
      </c>
      <c r="N521" t="s">
        <v>973</v>
      </c>
      <c r="O521" s="1442">
        <v>46232</v>
      </c>
      <c r="P521" s="1442">
        <v>46227</v>
      </c>
    </row>
    <row r="522" spans="1:16">
      <c r="A522" t="s">
        <v>4656</v>
      </c>
      <c r="B522" t="s">
        <v>64</v>
      </c>
      <c r="C522" t="s">
        <v>100</v>
      </c>
      <c r="D522" t="s">
        <v>4526</v>
      </c>
      <c r="E522" t="s">
        <v>71</v>
      </c>
      <c r="F522" t="s">
        <v>72</v>
      </c>
      <c r="G522">
        <v>1728</v>
      </c>
      <c r="H522" t="s">
        <v>75</v>
      </c>
      <c r="I522" t="s">
        <v>4657</v>
      </c>
      <c r="J522" s="1442">
        <v>46164</v>
      </c>
      <c r="K522" s="1442">
        <v>46214</v>
      </c>
      <c r="L522" s="1442"/>
      <c r="M522" s="1442">
        <v>46218</v>
      </c>
      <c r="N522" t="s">
        <v>973</v>
      </c>
      <c r="O522" s="1442">
        <v>46230</v>
      </c>
      <c r="P522" s="1442">
        <v>46225</v>
      </c>
    </row>
    <row r="523" spans="1:16">
      <c r="A523" t="s">
        <v>4564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4565</v>
      </c>
      <c r="J523" s="1442">
        <v>46162</v>
      </c>
      <c r="K523" s="1442">
        <v>46212</v>
      </c>
      <c r="L523" s="1442">
        <v>46235</v>
      </c>
      <c r="M523" s="1442">
        <v>46235</v>
      </c>
      <c r="N523" t="s">
        <v>973</v>
      </c>
      <c r="O523" s="1442">
        <v>46248</v>
      </c>
      <c r="P523" s="1442">
        <v>46242</v>
      </c>
    </row>
    <row r="524" spans="1:16">
      <c r="A524" t="s">
        <v>4570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4571</v>
      </c>
      <c r="J524" s="1442">
        <v>46162</v>
      </c>
      <c r="K524" s="1442">
        <v>46212</v>
      </c>
      <c r="L524" s="1442">
        <v>46235</v>
      </c>
      <c r="M524" s="1442">
        <v>46235</v>
      </c>
      <c r="N524" t="s">
        <v>973</v>
      </c>
      <c r="O524" s="1442">
        <v>46248</v>
      </c>
      <c r="P524" s="1442">
        <v>46242</v>
      </c>
    </row>
    <row r="525" spans="1:16">
      <c r="A525" t="s">
        <v>4579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4580</v>
      </c>
      <c r="J525" s="1442">
        <v>46170</v>
      </c>
      <c r="K525" s="1442">
        <v>46203</v>
      </c>
      <c r="L525" s="1442">
        <v>46211</v>
      </c>
      <c r="M525" s="1442">
        <v>46211</v>
      </c>
      <c r="N525" t="s">
        <v>973</v>
      </c>
      <c r="O525" s="1442">
        <v>46225</v>
      </c>
      <c r="P525" s="1442">
        <v>46218</v>
      </c>
    </row>
    <row r="526" spans="1:16">
      <c r="A526" t="s">
        <v>4572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4575</v>
      </c>
      <c r="J526" s="1442">
        <v>46168</v>
      </c>
      <c r="K526" s="1442">
        <v>46208</v>
      </c>
      <c r="L526" s="1442"/>
      <c r="M526" s="1442">
        <v>46208</v>
      </c>
      <c r="N526" t="s">
        <v>973</v>
      </c>
      <c r="O526" s="1442">
        <v>46223</v>
      </c>
      <c r="P526" s="1442">
        <v>46215</v>
      </c>
    </row>
    <row r="527" spans="1:16">
      <c r="A527" t="s">
        <v>4583</v>
      </c>
      <c r="B527" t="s">
        <v>64</v>
      </c>
      <c r="C527" t="s">
        <v>100</v>
      </c>
      <c r="D527" t="s">
        <v>4481</v>
      </c>
      <c r="E527" t="s">
        <v>4482</v>
      </c>
      <c r="F527" t="s">
        <v>4483</v>
      </c>
      <c r="G527">
        <v>1440</v>
      </c>
      <c r="H527" t="s">
        <v>75</v>
      </c>
      <c r="I527" t="s">
        <v>4584</v>
      </c>
      <c r="J527" s="1442">
        <v>46170</v>
      </c>
      <c r="K527" s="1442">
        <v>46203</v>
      </c>
      <c r="L527" s="1442">
        <v>46211</v>
      </c>
      <c r="M527" s="1442">
        <v>46211</v>
      </c>
      <c r="N527" t="s">
        <v>973</v>
      </c>
      <c r="O527" s="1442">
        <v>46225</v>
      </c>
      <c r="P527" s="1442">
        <v>46218</v>
      </c>
    </row>
    <row r="528" spans="1:16">
      <c r="A528" t="s">
        <v>4585</v>
      </c>
      <c r="B528" t="s">
        <v>144</v>
      </c>
      <c r="C528" t="s">
        <v>145</v>
      </c>
      <c r="D528" t="s">
        <v>4526</v>
      </c>
      <c r="E528" t="s">
        <v>4587</v>
      </c>
      <c r="F528" t="s">
        <v>330</v>
      </c>
      <c r="G528">
        <v>2160</v>
      </c>
      <c r="H528" t="s">
        <v>75</v>
      </c>
      <c r="I528" t="s">
        <v>4588</v>
      </c>
      <c r="J528" s="1442">
        <v>46170</v>
      </c>
      <c r="K528" s="1442">
        <v>46203</v>
      </c>
      <c r="L528" s="1442">
        <v>46210</v>
      </c>
      <c r="M528" s="1442">
        <v>46211</v>
      </c>
      <c r="N528" t="s">
        <v>973</v>
      </c>
      <c r="O528" s="1442">
        <v>46203</v>
      </c>
      <c r="P528" s="1442">
        <v>46211</v>
      </c>
    </row>
    <row r="529" spans="1:16">
      <c r="A529" t="s">
        <v>4591</v>
      </c>
      <c r="B529" t="s">
        <v>144</v>
      </c>
      <c r="C529" t="s">
        <v>145</v>
      </c>
      <c r="D529" t="s">
        <v>4526</v>
      </c>
      <c r="E529" t="s">
        <v>4592</v>
      </c>
      <c r="F529" t="s">
        <v>4593</v>
      </c>
      <c r="G529">
        <v>1440</v>
      </c>
      <c r="H529" t="s">
        <v>75</v>
      </c>
      <c r="I529" t="s">
        <v>4594</v>
      </c>
      <c r="J529" s="1442">
        <v>46170</v>
      </c>
      <c r="K529" s="1442">
        <v>46203</v>
      </c>
      <c r="L529" s="1442">
        <v>46210</v>
      </c>
      <c r="M529" s="1442">
        <v>46211</v>
      </c>
      <c r="N529" t="s">
        <v>973</v>
      </c>
      <c r="O529" s="1442">
        <v>46203</v>
      </c>
      <c r="P529" s="1442">
        <v>46211</v>
      </c>
    </row>
    <row r="530" spans="1:16">
      <c r="A530" t="s">
        <v>4595</v>
      </c>
      <c r="B530" t="s">
        <v>144</v>
      </c>
      <c r="C530" t="s">
        <v>145</v>
      </c>
      <c r="D530" t="s">
        <v>4526</v>
      </c>
      <c r="E530" t="s">
        <v>4587</v>
      </c>
      <c r="F530" t="s">
        <v>330</v>
      </c>
      <c r="G530">
        <v>2160</v>
      </c>
      <c r="H530" t="s">
        <v>75</v>
      </c>
      <c r="I530" t="s">
        <v>4596</v>
      </c>
      <c r="J530" s="1442">
        <v>46167</v>
      </c>
      <c r="K530" s="1442">
        <v>46204</v>
      </c>
      <c r="L530" s="1442">
        <v>46226</v>
      </c>
      <c r="M530" s="1442">
        <v>46227</v>
      </c>
      <c r="N530" t="s">
        <v>973</v>
      </c>
      <c r="O530" s="1442">
        <v>46204</v>
      </c>
      <c r="P530" s="1442">
        <v>46227</v>
      </c>
    </row>
    <row r="531" spans="1:16">
      <c r="A531" t="s">
        <v>4600</v>
      </c>
      <c r="B531" t="s">
        <v>144</v>
      </c>
      <c r="C531" t="s">
        <v>145</v>
      </c>
      <c r="D531" t="s">
        <v>4526</v>
      </c>
      <c r="E531" t="s">
        <v>4592</v>
      </c>
      <c r="F531" t="s">
        <v>4593</v>
      </c>
      <c r="G531">
        <v>1440</v>
      </c>
      <c r="H531" t="s">
        <v>75</v>
      </c>
      <c r="I531" t="s">
        <v>4601</v>
      </c>
      <c r="J531" s="1442">
        <v>46167</v>
      </c>
      <c r="K531" s="1442">
        <v>46204</v>
      </c>
      <c r="L531" s="1442">
        <v>46226</v>
      </c>
      <c r="M531" s="1442">
        <v>46227</v>
      </c>
      <c r="N531" t="s">
        <v>973</v>
      </c>
      <c r="O531" s="1442">
        <v>46204</v>
      </c>
      <c r="P531" s="1442">
        <v>46227</v>
      </c>
    </row>
    <row r="532" spans="1:16">
      <c r="A532" t="s">
        <v>4636</v>
      </c>
      <c r="B532" t="s">
        <v>144</v>
      </c>
      <c r="C532" t="s">
        <v>145</v>
      </c>
      <c r="D532" t="s">
        <v>4481</v>
      </c>
      <c r="E532" t="s">
        <v>4515</v>
      </c>
      <c r="F532" t="s">
        <v>4516</v>
      </c>
      <c r="G532">
        <v>720</v>
      </c>
      <c r="H532" t="s">
        <v>75</v>
      </c>
      <c r="I532" t="s">
        <v>4638</v>
      </c>
      <c r="J532" s="1442">
        <v>46168</v>
      </c>
      <c r="K532" s="1442">
        <v>46204</v>
      </c>
      <c r="L532" s="1442"/>
      <c r="M532" s="1442">
        <v>46204</v>
      </c>
      <c r="N532" t="s">
        <v>973</v>
      </c>
      <c r="O532" s="1442">
        <v>46204</v>
      </c>
      <c r="P532" s="1442">
        <v>46204</v>
      </c>
    </row>
    <row r="533" spans="1:16">
      <c r="A533" t="s">
        <v>4660</v>
      </c>
      <c r="B533" t="s">
        <v>64</v>
      </c>
      <c r="C533" t="s">
        <v>100</v>
      </c>
      <c r="D533" t="s">
        <v>4526</v>
      </c>
      <c r="E533" t="s">
        <v>1151</v>
      </c>
      <c r="F533" t="s">
        <v>421</v>
      </c>
      <c r="G533">
        <v>1728</v>
      </c>
      <c r="H533" t="s">
        <v>75</v>
      </c>
      <c r="I533" t="s">
        <v>4661</v>
      </c>
      <c r="J533" s="1442">
        <v>46164</v>
      </c>
      <c r="K533" s="1442">
        <v>46214</v>
      </c>
      <c r="L533" s="1442"/>
      <c r="M533" s="1442">
        <v>46218</v>
      </c>
      <c r="N533" t="s">
        <v>973</v>
      </c>
      <c r="O533" s="1442">
        <v>46230</v>
      </c>
      <c r="P533" s="1442">
        <v>46225</v>
      </c>
    </row>
    <row r="534" spans="1:16">
      <c r="A534" t="s">
        <v>4662</v>
      </c>
      <c r="B534" t="s">
        <v>64</v>
      </c>
      <c r="C534" t="s">
        <v>100</v>
      </c>
      <c r="D534" t="s">
        <v>4526</v>
      </c>
      <c r="E534" t="s">
        <v>71</v>
      </c>
      <c r="F534" t="s">
        <v>72</v>
      </c>
      <c r="G534">
        <v>4320</v>
      </c>
      <c r="H534" t="s">
        <v>75</v>
      </c>
      <c r="I534" t="s">
        <v>4664</v>
      </c>
      <c r="J534" s="1442">
        <v>46173</v>
      </c>
      <c r="K534" s="1442">
        <v>46214</v>
      </c>
      <c r="L534" s="1442"/>
      <c r="M534" s="1442">
        <v>46218</v>
      </c>
      <c r="N534" t="s">
        <v>973</v>
      </c>
      <c r="O534" s="1442">
        <v>46230</v>
      </c>
      <c r="P534" s="1442">
        <v>46225</v>
      </c>
    </row>
    <row r="535" spans="1:16">
      <c r="A535" t="s">
        <v>4668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4670</v>
      </c>
      <c r="J535" s="1442">
        <v>46165</v>
      </c>
      <c r="K535" s="1442">
        <v>46226</v>
      </c>
      <c r="L535" s="1442">
        <v>46231</v>
      </c>
      <c r="M535" s="1442">
        <v>46229</v>
      </c>
      <c r="N535" t="s">
        <v>973</v>
      </c>
      <c r="O535" s="1442">
        <v>46206</v>
      </c>
      <c r="P535" s="1442">
        <v>46229</v>
      </c>
    </row>
    <row r="536" spans="1:16">
      <c r="A536" t="s">
        <v>4675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4676</v>
      </c>
      <c r="J536" s="1442">
        <v>46173</v>
      </c>
      <c r="K536" s="1442">
        <v>46232</v>
      </c>
      <c r="L536" s="1442">
        <v>46239.5</v>
      </c>
      <c r="M536" s="1442">
        <v>46239.457638888889</v>
      </c>
      <c r="N536" t="s">
        <v>973</v>
      </c>
      <c r="O536" s="1442">
        <v>46246</v>
      </c>
      <c r="P536" s="1442">
        <v>46249.457638888889</v>
      </c>
    </row>
    <row r="537" spans="1:16">
      <c r="A537" t="s">
        <v>4679</v>
      </c>
      <c r="B537" t="s">
        <v>64</v>
      </c>
      <c r="C537" t="s">
        <v>65</v>
      </c>
      <c r="D537" t="s">
        <v>4526</v>
      </c>
      <c r="E537" t="s">
        <v>71</v>
      </c>
      <c r="F537" t="s">
        <v>72</v>
      </c>
      <c r="G537">
        <v>1728</v>
      </c>
      <c r="H537" t="s">
        <v>75</v>
      </c>
      <c r="I537" t="s">
        <v>4681</v>
      </c>
      <c r="J537" s="1442">
        <v>46173</v>
      </c>
      <c r="K537" s="1442">
        <v>46231</v>
      </c>
      <c r="L537" s="1442">
        <v>46234</v>
      </c>
      <c r="M537" s="1442">
        <v>46235.175381944442</v>
      </c>
      <c r="N537" t="s">
        <v>973</v>
      </c>
      <c r="O537" s="1442">
        <v>46247</v>
      </c>
      <c r="P537" s="1442">
        <v>46243.175381944442</v>
      </c>
    </row>
    <row r="538" spans="1:16">
      <c r="A538" t="s">
        <v>4684</v>
      </c>
      <c r="B538" t="s">
        <v>64</v>
      </c>
      <c r="C538" t="s">
        <v>450</v>
      </c>
      <c r="D538" t="s">
        <v>4526</v>
      </c>
      <c r="E538" t="s">
        <v>1151</v>
      </c>
      <c r="F538" t="s">
        <v>421</v>
      </c>
      <c r="G538">
        <v>864</v>
      </c>
      <c r="H538" t="s">
        <v>75</v>
      </c>
      <c r="I538" t="s">
        <v>4685</v>
      </c>
      <c r="J538" s="1442">
        <v>46173</v>
      </c>
      <c r="K538" s="1442">
        <v>46222</v>
      </c>
      <c r="L538" s="1442">
        <v>46224</v>
      </c>
      <c r="M538" s="1442">
        <v>46224</v>
      </c>
      <c r="N538" t="s">
        <v>973</v>
      </c>
      <c r="O538" s="1442">
        <v>46238</v>
      </c>
      <c r="P538" s="1442">
        <v>46231</v>
      </c>
    </row>
    <row r="539" spans="1:16">
      <c r="A539" t="s">
        <v>4688</v>
      </c>
      <c r="B539" t="s">
        <v>144</v>
      </c>
      <c r="C539" t="s">
        <v>145</v>
      </c>
      <c r="D539" t="s">
        <v>4526</v>
      </c>
      <c r="E539" t="s">
        <v>1151</v>
      </c>
      <c r="F539" t="s">
        <v>421</v>
      </c>
      <c r="G539">
        <v>864</v>
      </c>
      <c r="H539" t="s">
        <v>75</v>
      </c>
      <c r="I539" t="s">
        <v>4691</v>
      </c>
      <c r="J539" s="1442">
        <v>46173</v>
      </c>
      <c r="K539" s="1442">
        <v>46226</v>
      </c>
      <c r="L539" s="1442">
        <v>46229</v>
      </c>
      <c r="M539" s="1442">
        <v>46229</v>
      </c>
      <c r="N539" t="s">
        <v>973</v>
      </c>
      <c r="O539" s="1442">
        <v>46226</v>
      </c>
      <c r="P539" s="1442">
        <v>46229</v>
      </c>
    </row>
    <row r="540" spans="1:16">
      <c r="A540" t="s">
        <v>4634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4635</v>
      </c>
      <c r="J540" s="1442">
        <v>46171</v>
      </c>
      <c r="K540" s="1442">
        <v>46220</v>
      </c>
      <c r="L540" s="1442">
        <v>46231</v>
      </c>
      <c r="M540" s="1442">
        <v>46227</v>
      </c>
      <c r="N540" t="s">
        <v>973</v>
      </c>
      <c r="O540" s="1442">
        <v>46241</v>
      </c>
      <c r="P540" s="1442">
        <v>46237</v>
      </c>
    </row>
    <row r="541" spans="1:16">
      <c r="A541" t="s">
        <v>4632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4633</v>
      </c>
      <c r="J541" s="1442">
        <v>46171</v>
      </c>
      <c r="K541" s="1442">
        <v>46220</v>
      </c>
      <c r="L541" s="1442">
        <v>46231</v>
      </c>
      <c r="M541" s="1442">
        <v>46227</v>
      </c>
      <c r="N541" t="s">
        <v>973</v>
      </c>
      <c r="O541" s="1442">
        <v>46241</v>
      </c>
      <c r="P541" s="1442">
        <v>46237</v>
      </c>
    </row>
    <row r="542" spans="1:16">
      <c r="A542" t="s">
        <v>4628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4629</v>
      </c>
      <c r="J542" s="1442">
        <v>46171</v>
      </c>
      <c r="K542" s="1442">
        <v>46220</v>
      </c>
      <c r="L542" s="1442">
        <v>46231</v>
      </c>
      <c r="M542" s="1442">
        <v>46227</v>
      </c>
      <c r="N542" t="s">
        <v>973</v>
      </c>
      <c r="O542" s="1442">
        <v>46241</v>
      </c>
      <c r="P542" s="1442">
        <v>46237</v>
      </c>
    </row>
    <row r="543" spans="1:16">
      <c r="A543" t="s">
        <v>4626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4627</v>
      </c>
      <c r="J543" s="1442">
        <v>46171</v>
      </c>
      <c r="K543" s="1442">
        <v>46218</v>
      </c>
      <c r="L543" s="1442">
        <v>46225</v>
      </c>
      <c r="M543" s="1442">
        <v>46225</v>
      </c>
      <c r="N543" t="s">
        <v>973</v>
      </c>
      <c r="O543" s="1442">
        <v>46239</v>
      </c>
      <c r="P543" s="1442">
        <v>46235</v>
      </c>
    </row>
    <row r="544" spans="1:16">
      <c r="A544" t="s">
        <v>4620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4622</v>
      </c>
      <c r="J544" s="1442">
        <v>46171</v>
      </c>
      <c r="K544" s="1442">
        <v>46218</v>
      </c>
      <c r="L544" s="1442">
        <v>46225</v>
      </c>
      <c r="M544" s="1442">
        <v>46225</v>
      </c>
      <c r="N544" t="s">
        <v>973</v>
      </c>
      <c r="O544" s="1442">
        <v>46239</v>
      </c>
      <c r="P544" s="1442">
        <v>46235</v>
      </c>
    </row>
    <row r="545" spans="1:16">
      <c r="A545" t="s">
        <v>4613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4617</v>
      </c>
      <c r="J545" s="1442">
        <v>46173</v>
      </c>
      <c r="K545" s="1442">
        <v>46223</v>
      </c>
      <c r="L545" s="1442">
        <v>46234</v>
      </c>
      <c r="M545" s="1442">
        <v>46234</v>
      </c>
      <c r="N545" t="s">
        <v>973</v>
      </c>
      <c r="O545" s="1442">
        <v>46226</v>
      </c>
      <c r="P545" s="1442">
        <v>46234</v>
      </c>
    </row>
    <row r="546" spans="1:16">
      <c r="A546" t="s">
        <v>4611</v>
      </c>
      <c r="B546" t="s">
        <v>144</v>
      </c>
      <c r="C546" t="s">
        <v>145</v>
      </c>
      <c r="D546" t="s">
        <v>4526</v>
      </c>
      <c r="E546" t="s">
        <v>4592</v>
      </c>
      <c r="F546" t="s">
        <v>4593</v>
      </c>
      <c r="G546">
        <v>5760</v>
      </c>
      <c r="H546" t="s">
        <v>75</v>
      </c>
      <c r="I546" t="s">
        <v>4612</v>
      </c>
      <c r="J546" s="1442">
        <v>46173</v>
      </c>
      <c r="K546" s="1442">
        <v>46223</v>
      </c>
      <c r="L546" s="1442">
        <v>46234</v>
      </c>
      <c r="M546" s="1442">
        <v>46234</v>
      </c>
      <c r="N546" t="s">
        <v>973</v>
      </c>
      <c r="O546" s="1442">
        <v>46223</v>
      </c>
      <c r="P546" s="1442">
        <v>46234</v>
      </c>
    </row>
    <row r="547" spans="1:16">
      <c r="A547" t="s">
        <v>4607</v>
      </c>
      <c r="B547" t="s">
        <v>144</v>
      </c>
      <c r="C547" t="s">
        <v>145</v>
      </c>
      <c r="D547" t="s">
        <v>4526</v>
      </c>
      <c r="E547" t="s">
        <v>4592</v>
      </c>
      <c r="F547" t="s">
        <v>4593</v>
      </c>
      <c r="G547">
        <v>5040</v>
      </c>
      <c r="H547" t="s">
        <v>75</v>
      </c>
      <c r="I547" t="s">
        <v>4608</v>
      </c>
      <c r="J547" s="1442">
        <v>46173</v>
      </c>
      <c r="K547" s="1442">
        <v>46223</v>
      </c>
      <c r="L547" s="1442">
        <v>46234</v>
      </c>
      <c r="M547" s="1442">
        <v>46234</v>
      </c>
      <c r="N547" t="s">
        <v>973</v>
      </c>
      <c r="O547" s="1442">
        <v>46223</v>
      </c>
      <c r="P547" s="1442">
        <v>46234</v>
      </c>
    </row>
    <row r="548" spans="1:16">
      <c r="A548" t="s">
        <v>4602</v>
      </c>
      <c r="B548" t="s">
        <v>144</v>
      </c>
      <c r="C548" t="s">
        <v>145</v>
      </c>
      <c r="D548" t="s">
        <v>4526</v>
      </c>
      <c r="E548" t="s">
        <v>4592</v>
      </c>
      <c r="F548" t="s">
        <v>4593</v>
      </c>
      <c r="G548">
        <v>5760</v>
      </c>
      <c r="H548" t="s">
        <v>75</v>
      </c>
      <c r="I548" t="s">
        <v>4603</v>
      </c>
      <c r="J548" s="1442">
        <v>46173</v>
      </c>
      <c r="K548" s="1442">
        <v>46223</v>
      </c>
      <c r="L548" s="1442">
        <v>46234</v>
      </c>
      <c r="M548" s="1442">
        <v>46234</v>
      </c>
      <c r="N548" t="s">
        <v>973</v>
      </c>
      <c r="O548" s="1442">
        <v>46223</v>
      </c>
      <c r="P548" s="1442">
        <v>46234</v>
      </c>
    </row>
    <row r="549" spans="1:16">
      <c r="A549" t="s">
        <v>4723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4725</v>
      </c>
      <c r="J549" s="1442">
        <v>46178</v>
      </c>
      <c r="K549" s="1442">
        <v>46225</v>
      </c>
      <c r="L549" s="1442">
        <v>46236</v>
      </c>
      <c r="M549" s="1442">
        <v>46232</v>
      </c>
      <c r="N549" t="s">
        <v>973</v>
      </c>
      <c r="O549" s="1442">
        <v>46246</v>
      </c>
      <c r="P549" s="1442">
        <v>46242</v>
      </c>
    </row>
    <row r="550" spans="1:16">
      <c r="A550" t="s">
        <v>4705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4707</v>
      </c>
      <c r="J550" s="1442">
        <v>46174</v>
      </c>
      <c r="K550" s="1442">
        <v>46211</v>
      </c>
      <c r="L550" s="1442">
        <v>46221</v>
      </c>
      <c r="M550" s="1442">
        <v>46222</v>
      </c>
      <c r="N550" t="s">
        <v>973</v>
      </c>
      <c r="O550" s="1442">
        <v>46237</v>
      </c>
      <c r="P550" s="1442">
        <v>46229</v>
      </c>
    </row>
    <row r="551" spans="1:16">
      <c r="A551" t="s">
        <v>4760</v>
      </c>
      <c r="B551" t="s">
        <v>144</v>
      </c>
      <c r="C551" t="s">
        <v>145</v>
      </c>
      <c r="D551" t="s">
        <v>4526</v>
      </c>
      <c r="E551" t="s">
        <v>1151</v>
      </c>
      <c r="F551" t="s">
        <v>421</v>
      </c>
      <c r="G551">
        <v>1728</v>
      </c>
      <c r="H551" t="s">
        <v>75</v>
      </c>
      <c r="I551" t="s">
        <v>4762</v>
      </c>
      <c r="J551" s="1442">
        <v>46177</v>
      </c>
      <c r="K551" s="1442">
        <v>46232</v>
      </c>
      <c r="L551" s="1442">
        <v>46235</v>
      </c>
      <c r="M551" s="1442">
        <v>46236.419953703706</v>
      </c>
      <c r="N551" t="s">
        <v>973</v>
      </c>
      <c r="O551" s="1442">
        <v>46232</v>
      </c>
      <c r="P551" s="1442">
        <v>46236.419953703706</v>
      </c>
    </row>
    <row r="552" spans="1:16">
      <c r="A552" t="s">
        <v>4756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4757</v>
      </c>
      <c r="J552" s="1442">
        <v>46177</v>
      </c>
      <c r="K552" s="1442">
        <v>46247</v>
      </c>
      <c r="L552" s="1442">
        <v>46262</v>
      </c>
      <c r="M552" s="1442">
        <v>46262</v>
      </c>
      <c r="N552" t="s">
        <v>973</v>
      </c>
      <c r="O552" s="1442">
        <v>46274</v>
      </c>
      <c r="P552" s="1442">
        <v>46271</v>
      </c>
    </row>
    <row r="553" spans="1:16">
      <c r="A553" t="s">
        <v>4750</v>
      </c>
      <c r="B553" t="s">
        <v>64</v>
      </c>
      <c r="C553" t="s">
        <v>100</v>
      </c>
      <c r="D553" t="s">
        <v>4526</v>
      </c>
      <c r="E553" t="s">
        <v>965</v>
      </c>
      <c r="F553" t="s">
        <v>966</v>
      </c>
      <c r="G553">
        <v>1872</v>
      </c>
      <c r="H553" t="s">
        <v>75</v>
      </c>
      <c r="I553" t="s">
        <v>4751</v>
      </c>
      <c r="J553" s="1442">
        <v>46177</v>
      </c>
      <c r="K553" s="1442">
        <v>46217</v>
      </c>
      <c r="L553" s="1442">
        <v>46223</v>
      </c>
      <c r="M553" s="1442">
        <v>46223</v>
      </c>
      <c r="N553" t="s">
        <v>973</v>
      </c>
      <c r="O553" s="1442">
        <v>46237</v>
      </c>
      <c r="P553" s="1442">
        <v>46230</v>
      </c>
    </row>
    <row r="554" spans="1:16">
      <c r="A554" t="s">
        <v>4752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4753</v>
      </c>
      <c r="J554" s="1442">
        <v>46177</v>
      </c>
      <c r="K554" s="1442">
        <v>46233</v>
      </c>
      <c r="L554" s="1442"/>
      <c r="M554" s="1442">
        <v>46233</v>
      </c>
      <c r="N554" t="s">
        <v>973</v>
      </c>
      <c r="O554" s="1442">
        <v>46247</v>
      </c>
      <c r="P554" s="1442">
        <v>46242</v>
      </c>
    </row>
    <row r="555" spans="1:16">
      <c r="A555" t="s">
        <v>4745</v>
      </c>
      <c r="B555" t="s">
        <v>64</v>
      </c>
      <c r="C555" t="s">
        <v>100</v>
      </c>
      <c r="D555" t="s">
        <v>4526</v>
      </c>
      <c r="E555" t="s">
        <v>71</v>
      </c>
      <c r="F555" t="s">
        <v>72</v>
      </c>
      <c r="G555">
        <v>2592</v>
      </c>
      <c r="H555" t="s">
        <v>75</v>
      </c>
      <c r="I555" t="s">
        <v>4746</v>
      </c>
      <c r="J555" s="1442">
        <v>46177</v>
      </c>
      <c r="K555" s="1442">
        <v>46217</v>
      </c>
      <c r="L555" s="1442">
        <v>46223</v>
      </c>
      <c r="M555" s="1442">
        <v>46223</v>
      </c>
      <c r="N555" t="s">
        <v>973</v>
      </c>
      <c r="O555" s="1442">
        <v>46237</v>
      </c>
      <c r="P555" s="1442">
        <v>46230</v>
      </c>
    </row>
    <row r="556" spans="1:16">
      <c r="A556" t="s">
        <v>4736</v>
      </c>
      <c r="B556" t="s">
        <v>64</v>
      </c>
      <c r="C556" t="s">
        <v>114</v>
      </c>
      <c r="D556" t="s">
        <v>4481</v>
      </c>
      <c r="E556" t="s">
        <v>4482</v>
      </c>
      <c r="F556" t="s">
        <v>4483</v>
      </c>
      <c r="G556">
        <v>2160</v>
      </c>
      <c r="H556" t="s">
        <v>75</v>
      </c>
      <c r="I556" t="s">
        <v>4737</v>
      </c>
      <c r="J556" s="1442">
        <v>46175</v>
      </c>
      <c r="K556" s="1442">
        <v>46219</v>
      </c>
      <c r="L556" s="1442"/>
      <c r="M556" s="1442">
        <v>46219</v>
      </c>
      <c r="N556" t="s">
        <v>973</v>
      </c>
      <c r="O556" s="1442">
        <v>46233</v>
      </c>
      <c r="P556" s="1442">
        <v>46228</v>
      </c>
    </row>
    <row r="557" spans="1:16">
      <c r="A557" t="s">
        <v>4731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4732</v>
      </c>
      <c r="J557" s="1442">
        <v>46175</v>
      </c>
      <c r="K557" s="1442">
        <v>46219</v>
      </c>
      <c r="L557" s="1442"/>
      <c r="M557" s="1442">
        <v>46219</v>
      </c>
      <c r="N557" t="s">
        <v>973</v>
      </c>
      <c r="O557" s="1442">
        <v>46219</v>
      </c>
      <c r="P557" s="1442">
        <v>46219</v>
      </c>
    </row>
    <row r="558" spans="1:16">
      <c r="A558" t="s">
        <v>4694</v>
      </c>
      <c r="B558" t="s">
        <v>64</v>
      </c>
      <c r="C558" t="s">
        <v>100</v>
      </c>
      <c r="D558" t="s">
        <v>4481</v>
      </c>
      <c r="E558" t="s">
        <v>4482</v>
      </c>
      <c r="F558" t="s">
        <v>4483</v>
      </c>
      <c r="G558">
        <v>1440</v>
      </c>
      <c r="H558" t="s">
        <v>75</v>
      </c>
      <c r="I558" t="s">
        <v>4696</v>
      </c>
      <c r="J558" s="1442">
        <v>46179</v>
      </c>
      <c r="K558" s="1442">
        <v>46214</v>
      </c>
      <c r="L558" s="1442"/>
      <c r="M558" s="1442">
        <v>46218</v>
      </c>
      <c r="N558" t="s">
        <v>973</v>
      </c>
      <c r="O558" s="1442">
        <v>46232</v>
      </c>
      <c r="P558" s="1442">
        <v>46225</v>
      </c>
    </row>
    <row r="559" spans="1:16">
      <c r="A559" t="s">
        <v>4866</v>
      </c>
      <c r="B559" t="s">
        <v>144</v>
      </c>
      <c r="C559" t="s">
        <v>145</v>
      </c>
      <c r="D559" t="s">
        <v>4526</v>
      </c>
      <c r="E559" t="s">
        <v>71</v>
      </c>
      <c r="F559" t="s">
        <v>72</v>
      </c>
      <c r="G559">
        <v>5184</v>
      </c>
      <c r="H559" t="s">
        <v>75</v>
      </c>
      <c r="I559" t="s">
        <v>4869</v>
      </c>
      <c r="J559" s="1442">
        <v>46187</v>
      </c>
      <c r="K559" s="1442">
        <v>46238</v>
      </c>
      <c r="L559" s="1442">
        <v>46240</v>
      </c>
      <c r="M559" s="1442">
        <v>46243</v>
      </c>
      <c r="N559" t="s">
        <v>973</v>
      </c>
      <c r="O559" s="1442">
        <v>46238</v>
      </c>
      <c r="P559" s="1442">
        <v>46243</v>
      </c>
    </row>
    <row r="560" spans="1:16">
      <c r="A560" t="s">
        <v>4872</v>
      </c>
      <c r="B560" t="s">
        <v>144</v>
      </c>
      <c r="C560" t="s">
        <v>145</v>
      </c>
      <c r="D560" t="s">
        <v>4526</v>
      </c>
      <c r="E560" t="s">
        <v>71</v>
      </c>
      <c r="F560" t="s">
        <v>72</v>
      </c>
      <c r="G560">
        <v>6912</v>
      </c>
      <c r="H560" t="s">
        <v>75</v>
      </c>
      <c r="I560" t="s">
        <v>4875</v>
      </c>
      <c r="J560" s="1442">
        <v>46187</v>
      </c>
      <c r="K560" s="1442">
        <v>46238</v>
      </c>
      <c r="L560" s="1442">
        <v>46240</v>
      </c>
      <c r="M560" s="1442">
        <v>46243</v>
      </c>
      <c r="N560" t="s">
        <v>973</v>
      </c>
      <c r="O560" s="1442">
        <v>46238</v>
      </c>
      <c r="P560" s="1442">
        <v>46243</v>
      </c>
    </row>
    <row r="561" spans="1:16">
      <c r="A561" t="s">
        <v>4805</v>
      </c>
      <c r="B561" t="s">
        <v>64</v>
      </c>
      <c r="C561" t="s">
        <v>65</v>
      </c>
      <c r="D561" t="s">
        <v>4526</v>
      </c>
      <c r="E561" t="s">
        <v>4592</v>
      </c>
      <c r="F561" t="s">
        <v>4593</v>
      </c>
      <c r="G561">
        <v>2160</v>
      </c>
      <c r="H561" t="s">
        <v>75</v>
      </c>
      <c r="I561" t="s">
        <v>4806</v>
      </c>
      <c r="J561" s="1442">
        <v>46182</v>
      </c>
      <c r="K561" s="1442">
        <v>46224</v>
      </c>
      <c r="L561" s="1442">
        <v>46234</v>
      </c>
      <c r="M561" s="1442">
        <v>46235.175381944442</v>
      </c>
      <c r="N561" t="s">
        <v>973</v>
      </c>
      <c r="O561" s="1442">
        <v>46246</v>
      </c>
      <c r="P561" s="1442">
        <v>46243.175381944442</v>
      </c>
    </row>
    <row r="562" spans="1:16">
      <c r="A562" t="s">
        <v>4810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4811</v>
      </c>
      <c r="J562" s="1442">
        <v>46185</v>
      </c>
      <c r="K562" s="1442">
        <v>46232</v>
      </c>
      <c r="L562" s="1442">
        <v>46239.5</v>
      </c>
      <c r="M562" s="1442">
        <v>46239.457638888889</v>
      </c>
      <c r="N562" t="s">
        <v>973</v>
      </c>
      <c r="O562" s="1442">
        <v>46253</v>
      </c>
      <c r="P562" s="1442">
        <v>46249.457638888889</v>
      </c>
    </row>
    <row r="563" spans="1:16">
      <c r="A563" t="s">
        <v>4799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4801</v>
      </c>
      <c r="J563" s="1442">
        <v>46185</v>
      </c>
      <c r="K563" s="1442">
        <v>46237</v>
      </c>
      <c r="L563" s="1442">
        <v>46239.5</v>
      </c>
      <c r="M563" s="1442">
        <v>46245.821898148148</v>
      </c>
      <c r="N563" t="s">
        <v>973</v>
      </c>
      <c r="O563" s="1442">
        <v>46259</v>
      </c>
      <c r="P563" s="1442">
        <v>46253.821898148148</v>
      </c>
    </row>
    <row r="564" spans="1:16">
      <c r="A564" t="s">
        <v>4814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4816</v>
      </c>
      <c r="J564" s="1442">
        <v>46185</v>
      </c>
      <c r="K564" s="1442">
        <v>46232</v>
      </c>
      <c r="L564" s="1442">
        <v>46239.5</v>
      </c>
      <c r="M564" s="1442">
        <v>46239.457638888889</v>
      </c>
      <c r="N564" t="s">
        <v>973</v>
      </c>
      <c r="O564" s="1442">
        <v>46253</v>
      </c>
      <c r="P564" s="1442">
        <v>46249.457638888889</v>
      </c>
    </row>
    <row r="565" spans="1:16">
      <c r="A565" t="s">
        <v>4828</v>
      </c>
      <c r="B565" t="s">
        <v>64</v>
      </c>
      <c r="C565" t="s">
        <v>114</v>
      </c>
      <c r="D565" t="s">
        <v>4481</v>
      </c>
      <c r="E565" t="s">
        <v>4482</v>
      </c>
      <c r="F565" t="s">
        <v>4483</v>
      </c>
      <c r="G565">
        <v>720</v>
      </c>
      <c r="H565" t="s">
        <v>75</v>
      </c>
      <c r="I565" t="s">
        <v>4830</v>
      </c>
      <c r="J565" s="1442">
        <v>46185</v>
      </c>
      <c r="K565" s="1442">
        <v>46240</v>
      </c>
      <c r="L565" s="1442"/>
      <c r="M565" s="1442">
        <v>46250.44736111111</v>
      </c>
      <c r="N565" t="s">
        <v>973</v>
      </c>
      <c r="O565" s="1442">
        <v>46265</v>
      </c>
      <c r="P565" s="1442">
        <v>46259.44736111111</v>
      </c>
    </row>
    <row r="566" spans="1:16">
      <c r="A566" t="s">
        <v>4896</v>
      </c>
      <c r="B566" t="s">
        <v>64</v>
      </c>
      <c r="C566" t="s">
        <v>65</v>
      </c>
      <c r="D566" t="s">
        <v>4526</v>
      </c>
      <c r="E566" t="s">
        <v>71</v>
      </c>
      <c r="F566" t="s">
        <v>72</v>
      </c>
      <c r="G566">
        <v>3456</v>
      </c>
      <c r="H566" t="s">
        <v>75</v>
      </c>
      <c r="I566" t="s">
        <v>4898</v>
      </c>
      <c r="J566" s="1442">
        <v>46186</v>
      </c>
      <c r="K566" s="1442">
        <v>46251</v>
      </c>
      <c r="L566" s="1442">
        <v>46259.25</v>
      </c>
      <c r="M566" s="1442">
        <v>46259.238761574074</v>
      </c>
      <c r="N566" t="s">
        <v>973</v>
      </c>
      <c r="O566" s="1442">
        <v>46272</v>
      </c>
      <c r="P566" s="1442">
        <v>46267.238761574074</v>
      </c>
    </row>
    <row r="567" spans="1:16">
      <c r="A567" t="s">
        <v>4901</v>
      </c>
      <c r="B567" t="s">
        <v>64</v>
      </c>
      <c r="C567" t="s">
        <v>65</v>
      </c>
      <c r="D567" t="s">
        <v>4526</v>
      </c>
      <c r="E567" t="s">
        <v>71</v>
      </c>
      <c r="F567" t="s">
        <v>72</v>
      </c>
      <c r="G567">
        <v>864</v>
      </c>
      <c r="H567" t="s">
        <v>75</v>
      </c>
      <c r="I567" t="s">
        <v>4902</v>
      </c>
      <c r="J567" s="1442">
        <v>46186</v>
      </c>
      <c r="K567" s="1442">
        <v>46245</v>
      </c>
      <c r="L567" s="1442">
        <v>46253.541666666664</v>
      </c>
      <c r="M567" s="1442">
        <v>46253.474305555559</v>
      </c>
      <c r="N567" t="s">
        <v>973</v>
      </c>
      <c r="O567" s="1442">
        <v>46267</v>
      </c>
      <c r="P567" s="1442">
        <v>46261.474305555559</v>
      </c>
    </row>
    <row r="568" spans="1:16">
      <c r="A568" t="s">
        <v>4905</v>
      </c>
      <c r="B568" t="s">
        <v>144</v>
      </c>
      <c r="C568" t="s">
        <v>145</v>
      </c>
      <c r="D568" t="s">
        <v>4526</v>
      </c>
      <c r="E568" t="s">
        <v>1151</v>
      </c>
      <c r="F568" t="s">
        <v>421</v>
      </c>
      <c r="G568">
        <v>864</v>
      </c>
      <c r="H568" t="s">
        <v>75</v>
      </c>
      <c r="I568" t="s">
        <v>4907</v>
      </c>
      <c r="J568" s="1442">
        <v>46186</v>
      </c>
      <c r="K568" s="1442">
        <v>46239</v>
      </c>
      <c r="L568" s="1442">
        <v>46247.083333333336</v>
      </c>
      <c r="M568" s="1442" t="s">
        <v>4908</v>
      </c>
      <c r="N568" t="s">
        <v>973</v>
      </c>
      <c r="O568" s="1442">
        <v>46239</v>
      </c>
      <c r="P568" s="1442">
        <v>46247</v>
      </c>
    </row>
    <row r="569" spans="1:16">
      <c r="A569" t="s">
        <v>4882</v>
      </c>
      <c r="B569" t="s">
        <v>144</v>
      </c>
      <c r="C569" t="s">
        <v>145</v>
      </c>
      <c r="D569" t="s">
        <v>4526</v>
      </c>
      <c r="E569" t="s">
        <v>195</v>
      </c>
      <c r="F569" t="s">
        <v>196</v>
      </c>
      <c r="G569">
        <v>4680</v>
      </c>
      <c r="H569" t="s">
        <v>75</v>
      </c>
      <c r="I569" t="s">
        <v>4885</v>
      </c>
      <c r="J569" s="1442">
        <v>46186</v>
      </c>
      <c r="K569" s="1442">
        <v>46226</v>
      </c>
      <c r="L569" s="1442">
        <v>46233</v>
      </c>
      <c r="M569" s="1442">
        <v>46233</v>
      </c>
      <c r="N569" t="s">
        <v>973</v>
      </c>
      <c r="O569" s="1442">
        <v>46226</v>
      </c>
      <c r="P569" s="1442">
        <v>46233</v>
      </c>
    </row>
    <row r="570" spans="1:16">
      <c r="A570" t="s">
        <v>4790</v>
      </c>
      <c r="B570" t="s">
        <v>144</v>
      </c>
      <c r="C570" t="s">
        <v>145</v>
      </c>
      <c r="D570" t="s">
        <v>4526</v>
      </c>
      <c r="E570" t="s">
        <v>4587</v>
      </c>
      <c r="F570" t="s">
        <v>330</v>
      </c>
      <c r="G570">
        <v>720</v>
      </c>
      <c r="H570" t="s">
        <v>75</v>
      </c>
      <c r="I570" t="s">
        <v>4791</v>
      </c>
      <c r="J570" s="1442">
        <v>46184</v>
      </c>
      <c r="K570" s="1442">
        <v>46217</v>
      </c>
      <c r="L570" s="1442">
        <v>46226</v>
      </c>
      <c r="M570" s="1442">
        <v>46226</v>
      </c>
      <c r="N570" t="s">
        <v>973</v>
      </c>
      <c r="O570" s="1442">
        <v>46217</v>
      </c>
      <c r="P570" s="1442">
        <v>46226</v>
      </c>
    </row>
    <row r="571" spans="1:16">
      <c r="A571" t="s">
        <v>4786</v>
      </c>
      <c r="B571" t="s">
        <v>144</v>
      </c>
      <c r="C571" t="s">
        <v>145</v>
      </c>
      <c r="D571" t="s">
        <v>4526</v>
      </c>
      <c r="E571" t="s">
        <v>4587</v>
      </c>
      <c r="F571" t="s">
        <v>330</v>
      </c>
      <c r="G571">
        <v>6480</v>
      </c>
      <c r="H571" t="s">
        <v>75</v>
      </c>
      <c r="I571" t="s">
        <v>4787</v>
      </c>
      <c r="J571" s="1442">
        <v>46184</v>
      </c>
      <c r="K571" s="1442">
        <v>46217</v>
      </c>
      <c r="L571" s="1442">
        <v>46223</v>
      </c>
      <c r="M571" s="1442">
        <v>46223</v>
      </c>
      <c r="N571" t="s">
        <v>973</v>
      </c>
      <c r="O571" s="1442">
        <v>46217</v>
      </c>
      <c r="P571" s="1442">
        <v>46223</v>
      </c>
    </row>
    <row r="572" spans="1:16">
      <c r="A572" t="s">
        <v>4794</v>
      </c>
      <c r="B572" t="s">
        <v>144</v>
      </c>
      <c r="C572" t="s">
        <v>145</v>
      </c>
      <c r="D572" t="s">
        <v>4526</v>
      </c>
      <c r="E572" t="s">
        <v>4592</v>
      </c>
      <c r="F572" t="s">
        <v>4593</v>
      </c>
      <c r="G572">
        <v>2880</v>
      </c>
      <c r="H572" t="s">
        <v>75</v>
      </c>
      <c r="I572" t="s">
        <v>4795</v>
      </c>
      <c r="J572" s="1442">
        <v>46183</v>
      </c>
      <c r="K572" s="1442">
        <v>46233</v>
      </c>
      <c r="L572" s="1442">
        <v>46235</v>
      </c>
      <c r="M572" s="1442">
        <v>46240</v>
      </c>
      <c r="N572" t="s">
        <v>973</v>
      </c>
      <c r="O572" s="1442">
        <v>46233</v>
      </c>
      <c r="P572" s="1442">
        <v>46240</v>
      </c>
    </row>
    <row r="573" spans="1:16">
      <c r="A573" t="s">
        <v>4780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4782</v>
      </c>
      <c r="J573" s="1442">
        <v>46181</v>
      </c>
      <c r="K573" s="1442">
        <v>46222</v>
      </c>
      <c r="L573" s="1442">
        <v>46224</v>
      </c>
      <c r="M573" s="1442">
        <v>46224</v>
      </c>
      <c r="N573" t="s">
        <v>973</v>
      </c>
      <c r="O573" s="1442">
        <v>46238</v>
      </c>
      <c r="P573" s="1442">
        <v>46231</v>
      </c>
    </row>
    <row r="574" spans="1:16">
      <c r="A574" t="s">
        <v>4728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4730</v>
      </c>
      <c r="J574" s="1442">
        <v>46178</v>
      </c>
      <c r="K574" s="1442">
        <v>46225</v>
      </c>
      <c r="L574" s="1442">
        <v>46236</v>
      </c>
      <c r="M574" s="1442">
        <v>46232</v>
      </c>
      <c r="N574" t="s">
        <v>973</v>
      </c>
      <c r="O574" s="1442">
        <v>46246</v>
      </c>
      <c r="P574" s="1442">
        <v>46242</v>
      </c>
    </row>
    <row r="575" spans="1:16">
      <c r="A575" t="s">
        <v>4718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4719</v>
      </c>
      <c r="J575" s="1442">
        <v>46178</v>
      </c>
      <c r="K575" s="1442">
        <v>46230</v>
      </c>
      <c r="L575" s="1442">
        <v>46235</v>
      </c>
      <c r="M575" s="1442">
        <v>46236.239571759259</v>
      </c>
      <c r="N575" t="s">
        <v>973</v>
      </c>
      <c r="O575" s="1442">
        <v>46248</v>
      </c>
      <c r="P575" s="1442">
        <v>46244.239571759259</v>
      </c>
    </row>
    <row r="576" spans="1:16">
      <c r="A576" t="s">
        <v>4765</v>
      </c>
      <c r="B576" t="s">
        <v>144</v>
      </c>
      <c r="C576" t="s">
        <v>145</v>
      </c>
      <c r="D576" t="s">
        <v>4526</v>
      </c>
      <c r="E576" t="s">
        <v>71</v>
      </c>
      <c r="F576" t="s">
        <v>72</v>
      </c>
      <c r="G576">
        <v>5184</v>
      </c>
      <c r="H576" t="s">
        <v>75</v>
      </c>
      <c r="I576" t="s">
        <v>4768</v>
      </c>
      <c r="J576" s="1442">
        <v>46178</v>
      </c>
      <c r="K576" s="1442">
        <v>46237</v>
      </c>
      <c r="L576" s="1442">
        <v>46245</v>
      </c>
      <c r="M576" s="1442">
        <v>46247</v>
      </c>
      <c r="N576" t="s">
        <v>973</v>
      </c>
      <c r="O576" s="1442">
        <v>46237</v>
      </c>
      <c r="P576" s="1442">
        <v>46247</v>
      </c>
    </row>
    <row r="577" spans="1:16">
      <c r="A577" t="s">
        <v>4716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4717</v>
      </c>
      <c r="J577" s="1442">
        <v>46180</v>
      </c>
      <c r="K577" s="1442">
        <v>46221</v>
      </c>
      <c r="L577" s="1442">
        <v>46229</v>
      </c>
      <c r="M577" s="1442">
        <v>46228</v>
      </c>
      <c r="N577" t="s">
        <v>973</v>
      </c>
      <c r="O577" s="1442">
        <v>46241</v>
      </c>
      <c r="P577" s="1442">
        <v>46235</v>
      </c>
    </row>
    <row r="578" spans="1:16">
      <c r="A578" t="s">
        <v>4711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4712</v>
      </c>
      <c r="J578" s="1442">
        <v>46180</v>
      </c>
      <c r="K578" s="1442">
        <v>46221</v>
      </c>
      <c r="L578" s="1442">
        <v>46229</v>
      </c>
      <c r="M578" s="1442">
        <v>46228</v>
      </c>
      <c r="N578" t="s">
        <v>973</v>
      </c>
      <c r="O578" s="1442">
        <v>46241</v>
      </c>
      <c r="P578" s="1442">
        <v>46235</v>
      </c>
    </row>
    <row r="579" spans="1:16">
      <c r="A579" t="s">
        <v>4701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4702</v>
      </c>
      <c r="J579" s="1442">
        <v>46179</v>
      </c>
      <c r="K579" s="1442">
        <v>46214</v>
      </c>
      <c r="L579" s="1442"/>
      <c r="M579" s="1442">
        <v>46218</v>
      </c>
      <c r="N579" t="s">
        <v>973</v>
      </c>
      <c r="O579" s="1442">
        <v>46214</v>
      </c>
      <c r="P579" s="1442">
        <v>46218</v>
      </c>
    </row>
    <row r="580" spans="1:16">
      <c r="A580" t="s">
        <v>4699</v>
      </c>
      <c r="B580" t="s">
        <v>64</v>
      </c>
      <c r="C580" t="s">
        <v>100</v>
      </c>
      <c r="D580" t="s">
        <v>4481</v>
      </c>
      <c r="E580" t="s">
        <v>4515</v>
      </c>
      <c r="F580" t="s">
        <v>4516</v>
      </c>
      <c r="G580">
        <v>4320</v>
      </c>
      <c r="H580" t="s">
        <v>75</v>
      </c>
      <c r="I580" t="s">
        <v>4700</v>
      </c>
      <c r="J580" s="1442">
        <v>46179</v>
      </c>
      <c r="K580" s="1442">
        <v>46214</v>
      </c>
      <c r="L580" s="1442"/>
      <c r="M580" s="1442">
        <v>46218</v>
      </c>
      <c r="N580" t="s">
        <v>973</v>
      </c>
      <c r="O580" s="1442">
        <v>46232</v>
      </c>
      <c r="P580" s="1442">
        <v>46225</v>
      </c>
    </row>
    <row r="581" spans="1:16">
      <c r="A581" t="s">
        <v>4833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4834</v>
      </c>
      <c r="J581" s="1442">
        <v>46185</v>
      </c>
      <c r="K581" s="1442">
        <v>46240</v>
      </c>
      <c r="L581" s="1442"/>
      <c r="M581" s="1442">
        <v>46250.44736111111</v>
      </c>
      <c r="N581" t="s">
        <v>973</v>
      </c>
      <c r="O581" s="1442">
        <v>46265</v>
      </c>
      <c r="P581" s="1442">
        <v>46259.44736111111</v>
      </c>
    </row>
    <row r="582" spans="1:16">
      <c r="A582" t="s">
        <v>4837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4838</v>
      </c>
      <c r="J582" s="1442">
        <v>46185</v>
      </c>
      <c r="K582" s="1442">
        <v>46240</v>
      </c>
      <c r="L582" s="1442"/>
      <c r="M582" s="1442">
        <v>46250.44736111111</v>
      </c>
      <c r="N582" t="s">
        <v>973</v>
      </c>
      <c r="O582" s="1442">
        <v>46265</v>
      </c>
      <c r="P582" s="1442">
        <v>46259.44736111111</v>
      </c>
    </row>
    <row r="583" spans="1:16">
      <c r="A583" t="s">
        <v>4876</v>
      </c>
      <c r="B583" t="s">
        <v>144</v>
      </c>
      <c r="C583" t="s">
        <v>145</v>
      </c>
      <c r="D583" t="s">
        <v>4526</v>
      </c>
      <c r="E583" t="s">
        <v>195</v>
      </c>
      <c r="F583" t="s">
        <v>196</v>
      </c>
      <c r="G583">
        <v>936</v>
      </c>
      <c r="H583" t="s">
        <v>75</v>
      </c>
      <c r="I583" t="s">
        <v>4878</v>
      </c>
      <c r="J583" s="1442">
        <v>46186</v>
      </c>
      <c r="K583" s="1442">
        <v>46235</v>
      </c>
      <c r="L583" s="1442">
        <v>46242.041666666664</v>
      </c>
      <c r="M583" s="1442">
        <v>46241.871620370373</v>
      </c>
      <c r="N583" t="s">
        <v>973</v>
      </c>
      <c r="O583" s="1442">
        <v>46235</v>
      </c>
      <c r="P583" s="1442">
        <v>46241.871620370373</v>
      </c>
    </row>
    <row r="584" spans="1:16">
      <c r="A584" t="s">
        <v>4911</v>
      </c>
      <c r="B584" t="s">
        <v>144</v>
      </c>
      <c r="C584" t="s">
        <v>145</v>
      </c>
      <c r="D584" t="s">
        <v>4526</v>
      </c>
      <c r="E584" t="s">
        <v>1151</v>
      </c>
      <c r="F584" t="s">
        <v>421</v>
      </c>
      <c r="G584">
        <v>864</v>
      </c>
      <c r="H584" t="s">
        <v>75</v>
      </c>
      <c r="I584" t="s">
        <v>4912</v>
      </c>
      <c r="J584" s="1442">
        <v>46186</v>
      </c>
      <c r="K584" s="1442">
        <v>46240</v>
      </c>
      <c r="L584" s="1442">
        <v>46247.375</v>
      </c>
      <c r="M584" s="1442" t="s">
        <v>4908</v>
      </c>
      <c r="N584" t="s">
        <v>973</v>
      </c>
      <c r="O584" s="1442">
        <v>46240</v>
      </c>
      <c r="P584" s="1442">
        <v>46247</v>
      </c>
    </row>
    <row r="585" spans="1:16">
      <c r="A585" t="s">
        <v>4843</v>
      </c>
      <c r="B585" t="s">
        <v>144</v>
      </c>
      <c r="C585" t="s">
        <v>145</v>
      </c>
      <c r="D585" t="s">
        <v>4526</v>
      </c>
      <c r="E585" t="s">
        <v>71</v>
      </c>
      <c r="F585" t="s">
        <v>72</v>
      </c>
      <c r="G585">
        <v>5184</v>
      </c>
      <c r="H585" t="s">
        <v>75</v>
      </c>
      <c r="I585" t="s">
        <v>4845</v>
      </c>
      <c r="J585" s="1442">
        <v>46187</v>
      </c>
      <c r="K585" s="1442">
        <v>46240</v>
      </c>
      <c r="L585" s="1442">
        <v>46242</v>
      </c>
      <c r="M585" s="1442">
        <v>46240</v>
      </c>
      <c r="N585" t="s">
        <v>973</v>
      </c>
      <c r="O585" s="1442">
        <v>46240</v>
      </c>
      <c r="P585" s="1442">
        <v>46240</v>
      </c>
    </row>
    <row r="586" spans="1:16">
      <c r="A586" t="s">
        <v>4849</v>
      </c>
      <c r="B586" t="s">
        <v>144</v>
      </c>
      <c r="C586" t="s">
        <v>145</v>
      </c>
      <c r="D586" t="s">
        <v>4526</v>
      </c>
      <c r="E586" t="s">
        <v>71</v>
      </c>
      <c r="F586" t="s">
        <v>72</v>
      </c>
      <c r="G586">
        <v>5184</v>
      </c>
      <c r="H586" t="s">
        <v>75</v>
      </c>
      <c r="I586" t="s">
        <v>4851</v>
      </c>
      <c r="J586" s="1442">
        <v>46187</v>
      </c>
      <c r="K586" s="1442">
        <v>46238</v>
      </c>
      <c r="L586" s="1442">
        <v>46240</v>
      </c>
      <c r="M586" s="1442">
        <v>46243</v>
      </c>
      <c r="N586" t="s">
        <v>973</v>
      </c>
      <c r="O586" s="1442">
        <v>46238</v>
      </c>
      <c r="P586" s="1442">
        <v>46243</v>
      </c>
    </row>
    <row r="587" spans="1:16">
      <c r="A587" t="s">
        <v>4817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4818</v>
      </c>
      <c r="J587" s="1442">
        <v>46182</v>
      </c>
      <c r="K587" s="1442">
        <v>46241</v>
      </c>
      <c r="L587" s="1442">
        <v>46254.75</v>
      </c>
      <c r="M587" s="1442">
        <v>46254</v>
      </c>
      <c r="N587" t="s">
        <v>973</v>
      </c>
      <c r="O587" s="1442">
        <v>46268</v>
      </c>
      <c r="P587" s="1442">
        <v>46264</v>
      </c>
    </row>
    <row r="588" spans="1:16">
      <c r="A588" t="s">
        <v>4974</v>
      </c>
      <c r="B588" t="s">
        <v>64</v>
      </c>
      <c r="C588" t="s">
        <v>310</v>
      </c>
      <c r="D588" t="s">
        <v>4526</v>
      </c>
      <c r="E588" t="s">
        <v>4587</v>
      </c>
      <c r="F588" t="s">
        <v>330</v>
      </c>
      <c r="G588">
        <v>2160</v>
      </c>
      <c r="H588" t="s">
        <v>75</v>
      </c>
      <c r="I588" t="s">
        <v>4976</v>
      </c>
      <c r="J588" s="1442">
        <v>46189</v>
      </c>
      <c r="K588" s="1442">
        <v>46248</v>
      </c>
      <c r="L588" s="1442">
        <v>46254.75</v>
      </c>
      <c r="M588" s="1442">
        <v>46254</v>
      </c>
      <c r="N588" t="s">
        <v>973</v>
      </c>
      <c r="O588" s="1442">
        <v>46268</v>
      </c>
      <c r="P588" s="1442">
        <v>46264</v>
      </c>
    </row>
    <row r="589" spans="1:16">
      <c r="A589" t="s">
        <v>4950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4951</v>
      </c>
      <c r="J589" s="1442">
        <v>46189</v>
      </c>
      <c r="K589" s="1442">
        <v>46231</v>
      </c>
      <c r="L589" s="1442">
        <v>46234</v>
      </c>
      <c r="M589" s="1442">
        <v>46235.175381944442</v>
      </c>
      <c r="N589" t="s">
        <v>973</v>
      </c>
      <c r="O589" s="1442">
        <v>46246</v>
      </c>
      <c r="P589" s="1442">
        <v>46243.175381944442</v>
      </c>
    </row>
    <row r="590" spans="1:16">
      <c r="A590" t="s">
        <v>4935</v>
      </c>
      <c r="B590" t="s">
        <v>144</v>
      </c>
      <c r="C590" t="s">
        <v>145</v>
      </c>
      <c r="D590" t="s">
        <v>4526</v>
      </c>
      <c r="E590" t="s">
        <v>4587</v>
      </c>
      <c r="F590" t="s">
        <v>330</v>
      </c>
      <c r="G590">
        <v>3600</v>
      </c>
      <c r="H590" t="s">
        <v>75</v>
      </c>
      <c r="I590" t="s">
        <v>4936</v>
      </c>
      <c r="J590" s="1442">
        <v>46188</v>
      </c>
      <c r="K590" s="1442">
        <v>46225</v>
      </c>
      <c r="L590" s="1442">
        <v>46233</v>
      </c>
      <c r="M590" s="1442">
        <v>46234</v>
      </c>
      <c r="N590" t="s">
        <v>973</v>
      </c>
      <c r="O590" s="1442">
        <v>46225</v>
      </c>
      <c r="P590" s="1442">
        <v>46234</v>
      </c>
    </row>
    <row r="591" spans="1:16">
      <c r="A591" t="s">
        <v>4925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4926</v>
      </c>
      <c r="J591" s="1442">
        <v>46192</v>
      </c>
      <c r="K591" s="1442">
        <v>46226</v>
      </c>
      <c r="L591" s="1442">
        <v>46233</v>
      </c>
      <c r="M591" s="1442">
        <v>46233</v>
      </c>
      <c r="N591" t="s">
        <v>973</v>
      </c>
      <c r="O591" s="1442">
        <v>46226</v>
      </c>
      <c r="P591" s="1442">
        <v>46233</v>
      </c>
    </row>
    <row r="592" spans="1:16">
      <c r="A592" t="s">
        <v>4930</v>
      </c>
      <c r="B592" t="s">
        <v>144</v>
      </c>
      <c r="C592" t="s">
        <v>145</v>
      </c>
      <c r="D592" t="s">
        <v>4526</v>
      </c>
      <c r="E592" t="s">
        <v>4587</v>
      </c>
      <c r="F592" t="s">
        <v>330</v>
      </c>
      <c r="G592">
        <v>3600</v>
      </c>
      <c r="H592" t="s">
        <v>75</v>
      </c>
      <c r="I592" t="s">
        <v>4931</v>
      </c>
      <c r="J592" s="1442">
        <v>46187</v>
      </c>
      <c r="K592" s="1442">
        <v>46237</v>
      </c>
      <c r="L592" s="1442"/>
      <c r="M592" s="1442">
        <v>46239.203981481478</v>
      </c>
      <c r="N592" t="s">
        <v>973</v>
      </c>
      <c r="O592" s="1442">
        <v>46237</v>
      </c>
      <c r="P592" s="1442">
        <v>46239.203981481478</v>
      </c>
    </row>
    <row r="593" spans="1:16">
      <c r="A593" t="s">
        <v>4921</v>
      </c>
      <c r="B593" t="s">
        <v>64</v>
      </c>
      <c r="C593" t="s">
        <v>450</v>
      </c>
      <c r="D593" t="s">
        <v>4526</v>
      </c>
      <c r="E593" t="s">
        <v>4587</v>
      </c>
      <c r="F593" t="s">
        <v>330</v>
      </c>
      <c r="G593">
        <v>1440</v>
      </c>
      <c r="H593" t="s">
        <v>75</v>
      </c>
      <c r="I593" t="s">
        <v>4922</v>
      </c>
      <c r="J593" s="1442">
        <v>46188</v>
      </c>
      <c r="K593" s="1442">
        <v>46229</v>
      </c>
      <c r="L593" s="1442">
        <v>46232</v>
      </c>
      <c r="M593" s="1442">
        <v>46232</v>
      </c>
      <c r="N593" t="s">
        <v>973</v>
      </c>
      <c r="O593" s="1442">
        <v>46245</v>
      </c>
      <c r="P593" s="1442">
        <v>46239</v>
      </c>
    </row>
    <row r="594" spans="1:16">
      <c r="A594" t="s">
        <v>4740</v>
      </c>
      <c r="B594" t="s">
        <v>64</v>
      </c>
      <c r="C594" t="s">
        <v>450</v>
      </c>
      <c r="D594" t="s">
        <v>4526</v>
      </c>
      <c r="E594" t="s">
        <v>1151</v>
      </c>
      <c r="F594" t="s">
        <v>421</v>
      </c>
      <c r="G594">
        <v>3456</v>
      </c>
      <c r="H594" t="s">
        <v>75</v>
      </c>
      <c r="I594" t="s">
        <v>4741</v>
      </c>
      <c r="J594" s="1442">
        <v>46183</v>
      </c>
      <c r="K594" s="1442">
        <v>46236</v>
      </c>
      <c r="L594" s="1442">
        <v>46253</v>
      </c>
      <c r="M594" s="1442">
        <v>46258</v>
      </c>
      <c r="N594" t="s">
        <v>973</v>
      </c>
      <c r="O594" s="1442">
        <v>46267</v>
      </c>
      <c r="P594" s="1442">
        <v>46265</v>
      </c>
    </row>
    <row r="595" spans="1:16">
      <c r="A595" t="s">
        <v>5000</v>
      </c>
      <c r="B595" t="s">
        <v>64</v>
      </c>
      <c r="C595" t="s">
        <v>450</v>
      </c>
      <c r="D595" t="s">
        <v>4526</v>
      </c>
      <c r="E595" t="s">
        <v>195</v>
      </c>
      <c r="F595" t="s">
        <v>196</v>
      </c>
      <c r="G595">
        <v>936</v>
      </c>
      <c r="H595" t="s">
        <v>75</v>
      </c>
      <c r="I595" t="s">
        <v>5001</v>
      </c>
      <c r="J595" s="1442">
        <v>46193</v>
      </c>
      <c r="K595" s="1442">
        <v>46243</v>
      </c>
      <c r="L595" s="1442">
        <v>46244.40625</v>
      </c>
      <c r="M595" s="1442">
        <v>46244.405787037038</v>
      </c>
      <c r="N595" t="s">
        <v>973</v>
      </c>
      <c r="O595" s="1442">
        <v>46258</v>
      </c>
      <c r="P595" s="1442">
        <v>46251.405787037038</v>
      </c>
    </row>
    <row r="596" spans="1:16">
      <c r="A596" t="s">
        <v>5004</v>
      </c>
      <c r="B596" t="s">
        <v>144</v>
      </c>
      <c r="C596" t="s">
        <v>145</v>
      </c>
      <c r="D596" t="s">
        <v>4526</v>
      </c>
      <c r="E596" t="s">
        <v>195</v>
      </c>
      <c r="F596" t="s">
        <v>196</v>
      </c>
      <c r="G596">
        <v>3744</v>
      </c>
      <c r="H596" t="s">
        <v>75</v>
      </c>
      <c r="I596" t="s">
        <v>5005</v>
      </c>
      <c r="J596" s="1442">
        <v>46193</v>
      </c>
      <c r="K596" s="1442">
        <v>46232</v>
      </c>
      <c r="L596" s="1442">
        <v>46240.020833333336</v>
      </c>
      <c r="M596" s="1442">
        <v>46240.041226851848</v>
      </c>
      <c r="N596" t="s">
        <v>973</v>
      </c>
      <c r="O596" s="1442">
        <v>46232</v>
      </c>
      <c r="P596" s="1442">
        <v>46240.041226851848</v>
      </c>
    </row>
    <row r="597" spans="1:16">
      <c r="A597" t="s">
        <v>5008</v>
      </c>
      <c r="B597" t="s">
        <v>64</v>
      </c>
      <c r="C597" t="s">
        <v>100</v>
      </c>
      <c r="D597" t="s">
        <v>4526</v>
      </c>
      <c r="E597" t="s">
        <v>195</v>
      </c>
      <c r="F597" t="s">
        <v>196</v>
      </c>
      <c r="G597">
        <v>936</v>
      </c>
      <c r="H597" t="s">
        <v>75</v>
      </c>
      <c r="I597" t="s">
        <v>5009</v>
      </c>
      <c r="J597" s="1442">
        <v>46193</v>
      </c>
      <c r="K597" s="1442">
        <v>46232</v>
      </c>
      <c r="L597" s="1442">
        <v>46240.020833333336</v>
      </c>
      <c r="M597" s="1442">
        <v>46240.041226851848</v>
      </c>
      <c r="N597" t="s">
        <v>973</v>
      </c>
      <c r="O597" s="1442">
        <v>46253</v>
      </c>
      <c r="P597" s="1442">
        <v>46247.041226851848</v>
      </c>
    </row>
    <row r="598" spans="1:16">
      <c r="A598" t="s">
        <v>4984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4986</v>
      </c>
      <c r="J598" s="1442">
        <v>46189</v>
      </c>
      <c r="K598" s="1442">
        <v>46248</v>
      </c>
      <c r="L598" s="1442">
        <v>46254.75</v>
      </c>
      <c r="M598" s="1442">
        <v>46254</v>
      </c>
      <c r="N598" t="s">
        <v>973</v>
      </c>
      <c r="O598" s="1442">
        <v>46268</v>
      </c>
      <c r="P598" s="1442">
        <v>46264</v>
      </c>
    </row>
    <row r="599" spans="1:16">
      <c r="A599" t="s">
        <v>4948</v>
      </c>
      <c r="B599" t="s">
        <v>144</v>
      </c>
      <c r="C599" t="s">
        <v>145</v>
      </c>
      <c r="D599" t="s">
        <v>4526</v>
      </c>
      <c r="E599" t="s">
        <v>4592</v>
      </c>
      <c r="F599" t="s">
        <v>4593</v>
      </c>
      <c r="G599">
        <v>720</v>
      </c>
      <c r="H599" t="s">
        <v>75</v>
      </c>
      <c r="I599" t="s">
        <v>4949</v>
      </c>
      <c r="J599" s="1442">
        <v>46188</v>
      </c>
      <c r="K599" s="1442">
        <v>46225</v>
      </c>
      <c r="L599" s="1442">
        <v>46234</v>
      </c>
      <c r="M599" s="1442">
        <v>46237</v>
      </c>
      <c r="N599" t="s">
        <v>973</v>
      </c>
      <c r="O599" s="1442">
        <v>46225</v>
      </c>
      <c r="P599" s="1442">
        <v>46237</v>
      </c>
    </row>
    <row r="600" spans="1:16">
      <c r="A600" t="s">
        <v>4944</v>
      </c>
      <c r="B600" t="s">
        <v>144</v>
      </c>
      <c r="C600" t="s">
        <v>145</v>
      </c>
      <c r="D600" t="s">
        <v>4526</v>
      </c>
      <c r="E600" t="s">
        <v>4592</v>
      </c>
      <c r="F600" t="s">
        <v>4593</v>
      </c>
      <c r="G600">
        <v>4320</v>
      </c>
      <c r="H600" t="s">
        <v>75</v>
      </c>
      <c r="I600" t="s">
        <v>4945</v>
      </c>
      <c r="J600" s="1442">
        <v>46188</v>
      </c>
      <c r="K600" s="1442">
        <v>46225</v>
      </c>
      <c r="L600" s="1442">
        <v>46234</v>
      </c>
      <c r="M600" s="1442">
        <v>46237</v>
      </c>
      <c r="N600" t="s">
        <v>973</v>
      </c>
      <c r="O600" s="1442">
        <v>46225</v>
      </c>
      <c r="P600" s="1442">
        <v>46237</v>
      </c>
    </row>
    <row r="601" spans="1:16">
      <c r="A601" t="s">
        <v>4940</v>
      </c>
      <c r="B601" t="s">
        <v>144</v>
      </c>
      <c r="C601" t="s">
        <v>145</v>
      </c>
      <c r="D601" t="s">
        <v>4526</v>
      </c>
      <c r="E601" t="s">
        <v>4592</v>
      </c>
      <c r="F601" t="s">
        <v>4593</v>
      </c>
      <c r="G601">
        <v>2160</v>
      </c>
      <c r="H601" t="s">
        <v>75</v>
      </c>
      <c r="I601" t="s">
        <v>4941</v>
      </c>
      <c r="J601" s="1442">
        <v>46188</v>
      </c>
      <c r="K601" s="1442">
        <v>46225</v>
      </c>
      <c r="L601" s="1442">
        <v>46233</v>
      </c>
      <c r="M601" s="1442">
        <v>46234</v>
      </c>
      <c r="N601" t="s">
        <v>973</v>
      </c>
      <c r="O601" s="1442">
        <v>46225</v>
      </c>
      <c r="P601" s="1442">
        <v>46234</v>
      </c>
    </row>
    <row r="602" spans="1:16">
      <c r="A602" t="s">
        <v>5114</v>
      </c>
      <c r="B602" t="s">
        <v>64</v>
      </c>
      <c r="C602" t="s">
        <v>100</v>
      </c>
      <c r="D602" t="s">
        <v>4526</v>
      </c>
      <c r="E602" t="s">
        <v>195</v>
      </c>
      <c r="F602" t="s">
        <v>196</v>
      </c>
      <c r="G602">
        <v>936</v>
      </c>
      <c r="H602" t="s">
        <v>75</v>
      </c>
      <c r="I602" t="s">
        <v>5115</v>
      </c>
      <c r="J602" s="1442">
        <v>46197</v>
      </c>
      <c r="K602" s="1442">
        <v>46256</v>
      </c>
      <c r="L602" s="1442">
        <v>46262.1875</v>
      </c>
      <c r="M602" s="1442">
        <v>46262</v>
      </c>
      <c r="N602" t="s">
        <v>973</v>
      </c>
      <c r="O602" s="1442">
        <v>46276</v>
      </c>
      <c r="P602" s="1442">
        <v>46269</v>
      </c>
    </row>
    <row r="603" spans="1:16">
      <c r="A603" t="s">
        <v>5101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5103</v>
      </c>
      <c r="J603" s="1442">
        <v>46199</v>
      </c>
      <c r="K603" s="1442">
        <v>46251</v>
      </c>
      <c r="L603" s="1442"/>
      <c r="M603" s="1442">
        <v>46259.238761574074</v>
      </c>
      <c r="N603" t="s">
        <v>973</v>
      </c>
      <c r="O603" s="1442">
        <v>46272</v>
      </c>
      <c r="P603" s="1442">
        <v>46267.238761574074</v>
      </c>
    </row>
    <row r="604" spans="1:16">
      <c r="A604" t="s">
        <v>5079</v>
      </c>
      <c r="B604" t="s">
        <v>64</v>
      </c>
      <c r="C604" t="s">
        <v>65</v>
      </c>
      <c r="D604" t="s">
        <v>4526</v>
      </c>
      <c r="E604" t="s">
        <v>4592</v>
      </c>
      <c r="F604" t="s">
        <v>4593</v>
      </c>
      <c r="G604">
        <v>2160</v>
      </c>
      <c r="H604" t="s">
        <v>75</v>
      </c>
      <c r="I604" t="s">
        <v>5080</v>
      </c>
      <c r="J604" s="1442">
        <v>46199</v>
      </c>
      <c r="K604" s="1442">
        <v>46251</v>
      </c>
      <c r="L604" s="1442"/>
      <c r="M604" s="1442">
        <v>46259.238761574074</v>
      </c>
      <c r="N604" t="s">
        <v>973</v>
      </c>
      <c r="O604" s="1442">
        <v>46272</v>
      </c>
      <c r="P604" s="1442">
        <v>46267.238761574074</v>
      </c>
    </row>
    <row r="605" spans="1:16">
      <c r="A605" t="s">
        <v>5076</v>
      </c>
      <c r="B605" t="s">
        <v>64</v>
      </c>
      <c r="C605" t="s">
        <v>65</v>
      </c>
      <c r="D605" t="s">
        <v>4526</v>
      </c>
      <c r="E605" t="s">
        <v>4592</v>
      </c>
      <c r="F605" t="s">
        <v>4593</v>
      </c>
      <c r="G605">
        <v>2160</v>
      </c>
      <c r="H605" t="s">
        <v>75</v>
      </c>
      <c r="I605" t="s">
        <v>5078</v>
      </c>
      <c r="J605" s="1442">
        <v>46196</v>
      </c>
      <c r="K605" s="1442">
        <v>46238</v>
      </c>
      <c r="L605" s="1442">
        <v>46242.25</v>
      </c>
      <c r="M605" s="1442">
        <v>46242.239039351851</v>
      </c>
      <c r="N605" t="s">
        <v>973</v>
      </c>
      <c r="O605" s="1442">
        <v>46254</v>
      </c>
      <c r="P605" s="1442">
        <v>46250.239039351851</v>
      </c>
    </row>
    <row r="606" spans="1:16">
      <c r="A606" t="s">
        <v>5071</v>
      </c>
      <c r="B606" t="s">
        <v>64</v>
      </c>
      <c r="C606" t="s">
        <v>65</v>
      </c>
      <c r="D606" t="s">
        <v>4526</v>
      </c>
      <c r="E606" t="s">
        <v>4592</v>
      </c>
      <c r="F606" t="s">
        <v>4593</v>
      </c>
      <c r="G606">
        <v>2880</v>
      </c>
      <c r="H606" t="s">
        <v>75</v>
      </c>
      <c r="I606" t="s">
        <v>5072</v>
      </c>
      <c r="J606" s="1442">
        <v>46196</v>
      </c>
      <c r="K606" s="1442">
        <v>46238</v>
      </c>
      <c r="L606" s="1442">
        <v>46242.25</v>
      </c>
      <c r="M606" s="1442">
        <v>46242.239039351851</v>
      </c>
      <c r="N606" t="s">
        <v>973</v>
      </c>
      <c r="O606" s="1442">
        <v>46254</v>
      </c>
      <c r="P606" s="1442">
        <v>46250.239039351851</v>
      </c>
    </row>
    <row r="607" spans="1:16">
      <c r="A607" t="s">
        <v>5066</v>
      </c>
      <c r="B607" t="s">
        <v>144</v>
      </c>
      <c r="C607" t="s">
        <v>145</v>
      </c>
      <c r="D607" t="s">
        <v>4526</v>
      </c>
      <c r="E607" t="s">
        <v>4587</v>
      </c>
      <c r="F607" t="s">
        <v>330</v>
      </c>
      <c r="G607">
        <v>5760</v>
      </c>
      <c r="H607" t="s">
        <v>75</v>
      </c>
      <c r="I607" t="s">
        <v>5067</v>
      </c>
      <c r="J607" s="1442">
        <v>46194</v>
      </c>
      <c r="K607" s="1442">
        <v>46244</v>
      </c>
      <c r="L607" s="1442"/>
      <c r="M607" s="1442">
        <v>46249.489212962966</v>
      </c>
      <c r="N607" t="s">
        <v>973</v>
      </c>
      <c r="O607" s="1442">
        <v>46244</v>
      </c>
      <c r="P607" s="1442">
        <v>46249.489212962966</v>
      </c>
    </row>
    <row r="608" spans="1:16">
      <c r="A608" t="s">
        <v>5060</v>
      </c>
      <c r="B608" t="s">
        <v>144</v>
      </c>
      <c r="C608" t="s">
        <v>145</v>
      </c>
      <c r="D608" t="s">
        <v>4526</v>
      </c>
      <c r="E608" t="s">
        <v>4587</v>
      </c>
      <c r="F608" t="s">
        <v>330</v>
      </c>
      <c r="G608">
        <v>720</v>
      </c>
      <c r="H608" t="s">
        <v>75</v>
      </c>
      <c r="I608" t="s">
        <v>5062</v>
      </c>
      <c r="J608" s="1442">
        <v>46195</v>
      </c>
      <c r="K608" s="1442">
        <v>46232</v>
      </c>
      <c r="L608" s="1442">
        <v>46242.416666666664</v>
      </c>
      <c r="M608" s="1442">
        <v>46242.416134259256</v>
      </c>
      <c r="N608" t="s">
        <v>973</v>
      </c>
      <c r="O608" s="1442">
        <v>46232</v>
      </c>
      <c r="P608" s="1442">
        <v>46242.416134259256</v>
      </c>
    </row>
    <row r="609" spans="1:16">
      <c r="A609" t="s">
        <v>5058</v>
      </c>
      <c r="B609" t="s">
        <v>144</v>
      </c>
      <c r="C609" t="s">
        <v>145</v>
      </c>
      <c r="D609" t="s">
        <v>4526</v>
      </c>
      <c r="E609" t="s">
        <v>5052</v>
      </c>
      <c r="F609" t="s">
        <v>1484</v>
      </c>
      <c r="G609">
        <v>4158</v>
      </c>
      <c r="H609" t="s">
        <v>75</v>
      </c>
      <c r="I609" t="s">
        <v>5059</v>
      </c>
      <c r="J609" s="1442">
        <v>46198</v>
      </c>
      <c r="K609" s="1442">
        <v>46232</v>
      </c>
      <c r="L609" s="1442">
        <v>46240.020833333336</v>
      </c>
      <c r="M609" s="1442">
        <v>46240.041226851848</v>
      </c>
      <c r="N609" t="s">
        <v>973</v>
      </c>
      <c r="O609" s="1442">
        <v>46232</v>
      </c>
      <c r="P609" s="1442">
        <v>46240.041226851848</v>
      </c>
    </row>
    <row r="610" spans="1:16">
      <c r="A610" t="s">
        <v>5050</v>
      </c>
      <c r="B610" t="s">
        <v>144</v>
      </c>
      <c r="C610" t="s">
        <v>145</v>
      </c>
      <c r="D610" t="s">
        <v>4526</v>
      </c>
      <c r="E610" t="s">
        <v>5052</v>
      </c>
      <c r="F610" t="s">
        <v>1484</v>
      </c>
      <c r="G610">
        <v>1782</v>
      </c>
      <c r="H610" t="s">
        <v>75</v>
      </c>
      <c r="I610" t="s">
        <v>5054</v>
      </c>
      <c r="J610" s="1442">
        <v>46198</v>
      </c>
      <c r="K610" s="1442">
        <v>46232</v>
      </c>
      <c r="L610" s="1442">
        <v>46240.020833333336</v>
      </c>
      <c r="M610" s="1442">
        <v>46240</v>
      </c>
      <c r="N610" t="s">
        <v>973</v>
      </c>
      <c r="O610" s="1442">
        <v>46232</v>
      </c>
      <c r="P610" s="1442">
        <v>46240</v>
      </c>
    </row>
    <row r="611" spans="1:16">
      <c r="A611" t="s">
        <v>5041</v>
      </c>
      <c r="B611" t="s">
        <v>144</v>
      </c>
      <c r="C611" t="s">
        <v>145</v>
      </c>
      <c r="D611" t="s">
        <v>4526</v>
      </c>
      <c r="E611" t="s">
        <v>5036</v>
      </c>
      <c r="F611" t="s">
        <v>1807</v>
      </c>
      <c r="G611">
        <v>1188</v>
      </c>
      <c r="H611" t="s">
        <v>75</v>
      </c>
      <c r="I611" t="s">
        <v>5043</v>
      </c>
      <c r="J611" s="1442">
        <v>46194</v>
      </c>
      <c r="K611" s="1442">
        <v>46232</v>
      </c>
      <c r="L611" s="1442">
        <v>46241</v>
      </c>
      <c r="M611" s="1442">
        <v>46245</v>
      </c>
      <c r="N611" t="s">
        <v>973</v>
      </c>
      <c r="O611" s="1442">
        <v>46232</v>
      </c>
      <c r="P611" s="1442">
        <v>46245</v>
      </c>
    </row>
    <row r="612" spans="1:16">
      <c r="A612" t="s">
        <v>5044</v>
      </c>
      <c r="B612" t="s">
        <v>144</v>
      </c>
      <c r="C612" t="s">
        <v>145</v>
      </c>
      <c r="D612" t="s">
        <v>4526</v>
      </c>
      <c r="E612" t="s">
        <v>5036</v>
      </c>
      <c r="F612" t="s">
        <v>1807</v>
      </c>
      <c r="G612">
        <v>1188</v>
      </c>
      <c r="H612" t="s">
        <v>75</v>
      </c>
      <c r="I612" t="s">
        <v>5046</v>
      </c>
      <c r="J612" s="1442">
        <v>46194</v>
      </c>
      <c r="K612" s="1442">
        <v>46237</v>
      </c>
      <c r="L612" s="1442"/>
      <c r="M612" s="1442">
        <v>46249</v>
      </c>
      <c r="N612" t="s">
        <v>973</v>
      </c>
      <c r="O612" s="1442">
        <v>46237</v>
      </c>
      <c r="P612" s="1442">
        <v>46249</v>
      </c>
    </row>
    <row r="613" spans="1:16">
      <c r="A613" t="s">
        <v>4992</v>
      </c>
      <c r="B613" t="s">
        <v>64</v>
      </c>
      <c r="C613" t="s">
        <v>65</v>
      </c>
      <c r="D613" t="s">
        <v>4526</v>
      </c>
      <c r="E613" t="s">
        <v>71</v>
      </c>
      <c r="F613" t="s">
        <v>72</v>
      </c>
      <c r="G613">
        <v>2592</v>
      </c>
      <c r="H613" t="s">
        <v>75</v>
      </c>
      <c r="I613" t="s">
        <v>4993</v>
      </c>
      <c r="J613" s="1442">
        <v>46193</v>
      </c>
      <c r="K613" s="1442">
        <v>46258</v>
      </c>
      <c r="L613" s="1442">
        <v>46271.25</v>
      </c>
      <c r="M613" s="1442">
        <v>46271.279085648152</v>
      </c>
      <c r="N613" t="s">
        <v>2434</v>
      </c>
      <c r="O613" s="1442">
        <v>46283</v>
      </c>
      <c r="P613" s="1442">
        <v>46279.279085648152</v>
      </c>
    </row>
    <row r="614" spans="1:16">
      <c r="A614" t="s">
        <v>4971</v>
      </c>
      <c r="B614" t="s">
        <v>64</v>
      </c>
      <c r="C614" t="s">
        <v>65</v>
      </c>
      <c r="D614" t="s">
        <v>4526</v>
      </c>
      <c r="E614" t="s">
        <v>4592</v>
      </c>
      <c r="F614" t="s">
        <v>4593</v>
      </c>
      <c r="G614">
        <v>6480</v>
      </c>
      <c r="H614" t="s">
        <v>75</v>
      </c>
      <c r="I614" t="s">
        <v>4973</v>
      </c>
      <c r="J614" s="1442">
        <v>46195</v>
      </c>
      <c r="K614" s="1442">
        <v>46244</v>
      </c>
      <c r="L614" s="1442"/>
      <c r="M614" s="1442">
        <v>46250.848819444444</v>
      </c>
      <c r="N614" t="s">
        <v>973</v>
      </c>
      <c r="O614" s="1442">
        <v>46265</v>
      </c>
      <c r="P614" s="1442">
        <v>46258.848819444444</v>
      </c>
    </row>
    <row r="615" spans="1:16">
      <c r="A615" t="s">
        <v>4987</v>
      </c>
      <c r="B615" t="s">
        <v>64</v>
      </c>
      <c r="C615" t="s">
        <v>65</v>
      </c>
      <c r="D615" t="s">
        <v>4526</v>
      </c>
      <c r="E615" t="s">
        <v>71</v>
      </c>
      <c r="F615" t="s">
        <v>72</v>
      </c>
      <c r="G615">
        <v>1728</v>
      </c>
      <c r="H615" t="s">
        <v>75</v>
      </c>
      <c r="I615" t="s">
        <v>4988</v>
      </c>
      <c r="J615" s="1442">
        <v>46193</v>
      </c>
      <c r="K615" s="1442">
        <v>46252</v>
      </c>
      <c r="L615" s="1442">
        <v>46261.25</v>
      </c>
      <c r="M615" s="1442">
        <v>46261</v>
      </c>
      <c r="N615" t="s">
        <v>2434</v>
      </c>
      <c r="O615" s="1442">
        <v>46273</v>
      </c>
      <c r="P615" s="1442">
        <v>46269</v>
      </c>
    </row>
    <row r="616" spans="1:16">
      <c r="A616" t="s">
        <v>4966</v>
      </c>
      <c r="B616" t="s">
        <v>64</v>
      </c>
      <c r="C616" t="s">
        <v>65</v>
      </c>
      <c r="D616" t="s">
        <v>4526</v>
      </c>
      <c r="E616" t="s">
        <v>1151</v>
      </c>
      <c r="F616" t="s">
        <v>421</v>
      </c>
      <c r="G616">
        <v>3456</v>
      </c>
      <c r="H616" t="s">
        <v>75</v>
      </c>
      <c r="I616" t="s">
        <v>4967</v>
      </c>
      <c r="J616" s="1442">
        <v>46195</v>
      </c>
      <c r="K616" s="1442">
        <v>46244</v>
      </c>
      <c r="L616" s="1442"/>
      <c r="M616" s="1442">
        <v>46250.848819444444</v>
      </c>
      <c r="N616" t="s">
        <v>973</v>
      </c>
      <c r="O616" s="1442">
        <v>46265</v>
      </c>
      <c r="P616" s="1442">
        <v>46258.848819444444</v>
      </c>
    </row>
    <row r="617" spans="1:16">
      <c r="A617" t="s">
        <v>5119</v>
      </c>
      <c r="B617" t="s">
        <v>64</v>
      </c>
      <c r="C617" t="s">
        <v>100</v>
      </c>
      <c r="D617" t="s">
        <v>4526</v>
      </c>
      <c r="E617" t="s">
        <v>195</v>
      </c>
      <c r="F617" t="s">
        <v>196</v>
      </c>
      <c r="G617">
        <v>4680</v>
      </c>
      <c r="H617" t="s">
        <v>75</v>
      </c>
      <c r="I617" t="s">
        <v>5121</v>
      </c>
      <c r="J617" s="1442">
        <v>46197</v>
      </c>
      <c r="K617" s="1442">
        <v>46238</v>
      </c>
      <c r="L617" s="1442">
        <v>46244.291666666664</v>
      </c>
      <c r="M617" s="1442">
        <v>46244.348958333336</v>
      </c>
      <c r="N617" t="s">
        <v>973</v>
      </c>
      <c r="O617" s="1442">
        <v>46259</v>
      </c>
      <c r="P617" s="1442">
        <v>46251.348958333336</v>
      </c>
    </row>
    <row r="618" spans="1:16">
      <c r="A618" t="s">
        <v>4915</v>
      </c>
      <c r="B618" t="s">
        <v>64</v>
      </c>
      <c r="C618" t="s">
        <v>450</v>
      </c>
      <c r="D618" t="s">
        <v>4526</v>
      </c>
      <c r="E618" t="s">
        <v>1151</v>
      </c>
      <c r="F618" t="s">
        <v>421</v>
      </c>
      <c r="G618">
        <v>864</v>
      </c>
      <c r="H618" t="s">
        <v>75</v>
      </c>
      <c r="I618" t="s">
        <v>4917</v>
      </c>
      <c r="J618" s="1442">
        <v>46188</v>
      </c>
      <c r="K618" s="1442">
        <v>46229</v>
      </c>
      <c r="L618" s="1442">
        <v>46232</v>
      </c>
      <c r="M618" s="1442">
        <v>46232</v>
      </c>
      <c r="N618" t="s">
        <v>973</v>
      </c>
      <c r="O618" s="1442">
        <v>46245</v>
      </c>
      <c r="P618" s="1442">
        <v>46239</v>
      </c>
    </row>
    <row r="619" spans="1:16">
      <c r="A619" t="s">
        <v>5124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5125</v>
      </c>
      <c r="J619" s="1442">
        <v>46197</v>
      </c>
      <c r="K619" s="1442">
        <v>46265</v>
      </c>
      <c r="L619" s="1442">
        <v>46278.083333333336</v>
      </c>
      <c r="M619" s="1442">
        <v>46278.186840277776</v>
      </c>
      <c r="N619" t="s">
        <v>2434</v>
      </c>
      <c r="O619" s="1442">
        <v>46290</v>
      </c>
      <c r="P619" s="1442">
        <v>46286.186840277776</v>
      </c>
    </row>
    <row r="620" spans="1:16">
      <c r="A620" t="s">
        <v>5128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5129</v>
      </c>
      <c r="J620" s="1442">
        <v>46197</v>
      </c>
      <c r="K620" s="1442">
        <v>46259</v>
      </c>
      <c r="L620" s="1442">
        <v>46272.833333333336</v>
      </c>
      <c r="M620" s="1442">
        <v>46272</v>
      </c>
      <c r="N620" t="s">
        <v>2434</v>
      </c>
      <c r="O620" s="1442">
        <v>46289</v>
      </c>
      <c r="P620" s="1442">
        <v>46280</v>
      </c>
    </row>
    <row r="621" spans="1:16">
      <c r="A621" t="s">
        <v>5132</v>
      </c>
      <c r="B621" t="s">
        <v>64</v>
      </c>
      <c r="C621" t="s">
        <v>450</v>
      </c>
      <c r="D621" t="s">
        <v>4526</v>
      </c>
      <c r="E621" t="s">
        <v>1151</v>
      </c>
      <c r="F621" t="s">
        <v>421</v>
      </c>
      <c r="G621">
        <v>864</v>
      </c>
      <c r="H621" t="s">
        <v>75</v>
      </c>
      <c r="I621" t="s">
        <v>5134</v>
      </c>
      <c r="J621" s="1442">
        <v>46197</v>
      </c>
      <c r="K621" s="1442">
        <v>46250</v>
      </c>
      <c r="L621" s="1442">
        <v>46253.75</v>
      </c>
      <c r="M621" s="1442">
        <v>46253.739166666666</v>
      </c>
      <c r="N621" t="s">
        <v>973</v>
      </c>
      <c r="O621" s="1442">
        <v>46267</v>
      </c>
      <c r="P621" s="1442">
        <v>46260.739166666666</v>
      </c>
    </row>
    <row r="622" spans="1:16">
      <c r="A622" t="s">
        <v>5137</v>
      </c>
      <c r="B622" t="s">
        <v>64</v>
      </c>
      <c r="C622" t="s">
        <v>65</v>
      </c>
      <c r="D622" t="s">
        <v>4526</v>
      </c>
      <c r="E622" t="s">
        <v>5097</v>
      </c>
      <c r="F622" t="s">
        <v>103</v>
      </c>
      <c r="G622">
        <v>720</v>
      </c>
      <c r="H622" t="s">
        <v>75</v>
      </c>
      <c r="I622" t="s">
        <v>5138</v>
      </c>
      <c r="J622" s="1442">
        <v>46197</v>
      </c>
      <c r="K622" s="1442">
        <v>46254</v>
      </c>
      <c r="L622" s="1442">
        <v>46272.833333333336</v>
      </c>
      <c r="M622" s="1442">
        <v>46272</v>
      </c>
      <c r="N622" t="s">
        <v>2434</v>
      </c>
      <c r="O622" s="1442">
        <v>46286</v>
      </c>
      <c r="P622" s="1442">
        <v>46280</v>
      </c>
    </row>
    <row r="623" spans="1:16">
      <c r="A623" t="s">
        <v>5035</v>
      </c>
      <c r="B623" t="s">
        <v>144</v>
      </c>
      <c r="C623" t="s">
        <v>145</v>
      </c>
      <c r="D623" t="s">
        <v>4526</v>
      </c>
      <c r="E623" t="s">
        <v>5036</v>
      </c>
      <c r="F623" t="s">
        <v>1807</v>
      </c>
      <c r="G623">
        <v>2970</v>
      </c>
      <c r="H623" t="s">
        <v>75</v>
      </c>
      <c r="I623" t="s">
        <v>5038</v>
      </c>
      <c r="J623" s="1442">
        <v>46194</v>
      </c>
      <c r="K623" s="1442">
        <v>46232</v>
      </c>
      <c r="L623" s="1442">
        <v>46241</v>
      </c>
      <c r="M623" s="1442">
        <v>46245</v>
      </c>
      <c r="N623" t="s">
        <v>973</v>
      </c>
      <c r="O623" s="1442">
        <v>46232</v>
      </c>
      <c r="P623" s="1442">
        <v>46245</v>
      </c>
    </row>
    <row r="624" spans="1:16">
      <c r="A624" t="s">
        <v>4996</v>
      </c>
      <c r="B624" t="s">
        <v>144</v>
      </c>
      <c r="C624" t="s">
        <v>145</v>
      </c>
      <c r="D624" t="s">
        <v>4526</v>
      </c>
      <c r="E624" t="s">
        <v>195</v>
      </c>
      <c r="F624" t="s">
        <v>196</v>
      </c>
      <c r="G624">
        <v>4680</v>
      </c>
      <c r="H624" t="s">
        <v>75</v>
      </c>
      <c r="I624" t="s">
        <v>4997</v>
      </c>
      <c r="J624" s="1442">
        <v>46186</v>
      </c>
      <c r="K624" s="1442">
        <v>46238</v>
      </c>
      <c r="L624" s="1442" t="s">
        <v>2521</v>
      </c>
      <c r="M624" s="1442">
        <v>46244</v>
      </c>
      <c r="N624" t="s">
        <v>973</v>
      </c>
      <c r="O624" s="1442">
        <v>46238</v>
      </c>
      <c r="P624" s="1442">
        <v>46244</v>
      </c>
    </row>
    <row r="625" spans="1:16">
      <c r="A625" t="s">
        <v>4894</v>
      </c>
      <c r="B625" t="s">
        <v>64</v>
      </c>
      <c r="C625" t="s">
        <v>100</v>
      </c>
      <c r="D625" t="s">
        <v>4526</v>
      </c>
      <c r="E625" t="s">
        <v>965</v>
      </c>
      <c r="F625" t="s">
        <v>966</v>
      </c>
      <c r="G625">
        <v>1872</v>
      </c>
      <c r="H625" t="s">
        <v>75</v>
      </c>
      <c r="I625" t="s">
        <v>4895</v>
      </c>
      <c r="J625" s="1442">
        <v>46186</v>
      </c>
      <c r="K625" s="1442">
        <v>46226</v>
      </c>
      <c r="L625" s="1442">
        <v>46243</v>
      </c>
      <c r="M625" s="1442">
        <v>46246</v>
      </c>
      <c r="N625" t="s">
        <v>973</v>
      </c>
      <c r="O625" s="1442">
        <v>46258</v>
      </c>
      <c r="P625" s="1442">
        <v>46253</v>
      </c>
    </row>
    <row r="626" spans="1:16">
      <c r="A626" t="s">
        <v>4888</v>
      </c>
      <c r="B626" t="s">
        <v>64</v>
      </c>
      <c r="C626" t="s">
        <v>100</v>
      </c>
      <c r="D626" t="s">
        <v>4526</v>
      </c>
      <c r="E626" t="s">
        <v>195</v>
      </c>
      <c r="F626" t="s">
        <v>196</v>
      </c>
      <c r="G626">
        <v>1872</v>
      </c>
      <c r="H626" t="s">
        <v>75</v>
      </c>
      <c r="I626" t="s">
        <v>4890</v>
      </c>
      <c r="J626" s="1442">
        <v>46186</v>
      </c>
      <c r="K626" s="1442">
        <v>46226</v>
      </c>
      <c r="L626" s="1442">
        <v>46243</v>
      </c>
      <c r="M626" s="1442">
        <v>46246</v>
      </c>
      <c r="N626" t="s">
        <v>973</v>
      </c>
      <c r="O626" s="1442">
        <v>46258</v>
      </c>
      <c r="P626" s="1442">
        <v>46253</v>
      </c>
    </row>
    <row r="627" spans="1:16">
      <c r="A627" t="s">
        <v>4861</v>
      </c>
      <c r="B627" t="s">
        <v>64</v>
      </c>
      <c r="C627" t="s">
        <v>450</v>
      </c>
      <c r="D627" t="s">
        <v>4526</v>
      </c>
      <c r="E627" t="s">
        <v>195</v>
      </c>
      <c r="F627" t="s">
        <v>196</v>
      </c>
      <c r="G627">
        <v>3744</v>
      </c>
      <c r="H627" t="s">
        <v>75</v>
      </c>
      <c r="I627" t="s">
        <v>4862</v>
      </c>
      <c r="J627" s="1442">
        <v>46184</v>
      </c>
      <c r="K627" s="1442">
        <v>46231</v>
      </c>
      <c r="L627" s="1442">
        <v>46238</v>
      </c>
      <c r="M627" s="1442">
        <v>46248</v>
      </c>
      <c r="N627" t="s">
        <v>973</v>
      </c>
      <c r="O627" s="1442">
        <v>46262</v>
      </c>
      <c r="P627" s="1442">
        <v>46255</v>
      </c>
    </row>
    <row r="628" spans="1:16">
      <c r="A628" t="s">
        <v>4855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4858</v>
      </c>
      <c r="J628" s="1442">
        <v>46182</v>
      </c>
      <c r="K628" s="1442">
        <v>46250</v>
      </c>
      <c r="L628" s="1442">
        <v>46260</v>
      </c>
      <c r="M628" s="1442">
        <v>46261</v>
      </c>
      <c r="N628" t="s">
        <v>973</v>
      </c>
      <c r="O628" s="1442">
        <v>46251</v>
      </c>
      <c r="P628" s="1442">
        <v>46261</v>
      </c>
    </row>
    <row r="629" spans="1:16">
      <c r="A629" t="s">
        <v>5231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5232</v>
      </c>
      <c r="J629" s="1442">
        <v>46204</v>
      </c>
      <c r="K629" s="1442">
        <v>46257</v>
      </c>
      <c r="L629" s="1442">
        <v>46272.25</v>
      </c>
      <c r="M629" s="1442">
        <v>46272.251446759263</v>
      </c>
      <c r="N629" t="s">
        <v>2434</v>
      </c>
      <c r="O629" s="1442">
        <v>46300</v>
      </c>
      <c r="P629" s="1442">
        <v>46282.251446759263</v>
      </c>
    </row>
    <row r="630" spans="1:16">
      <c r="A630" t="s">
        <v>5229</v>
      </c>
      <c r="B630" t="s">
        <v>64</v>
      </c>
      <c r="C630" t="s">
        <v>114</v>
      </c>
      <c r="D630" t="s">
        <v>4526</v>
      </c>
      <c r="E630" t="s">
        <v>118</v>
      </c>
      <c r="F630" t="s">
        <v>119</v>
      </c>
      <c r="G630">
        <v>144</v>
      </c>
      <c r="H630" t="s">
        <v>75</v>
      </c>
      <c r="I630" t="s">
        <v>8211</v>
      </c>
      <c r="J630" s="1442">
        <v>46204</v>
      </c>
      <c r="K630" s="1442">
        <v>46249</v>
      </c>
      <c r="L630" s="1442"/>
      <c r="M630" s="1442">
        <v>46258.289537037039</v>
      </c>
      <c r="N630" t="s">
        <v>973</v>
      </c>
      <c r="O630" s="1442">
        <v>46272</v>
      </c>
      <c r="P630" s="1442">
        <v>46267.289537037039</v>
      </c>
    </row>
    <row r="631" spans="1:16">
      <c r="A631" t="s">
        <v>5222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5223</v>
      </c>
      <c r="J631" s="1442">
        <v>46204</v>
      </c>
      <c r="K631" s="1442">
        <v>46249</v>
      </c>
      <c r="L631" s="1442"/>
      <c r="M631" s="1442">
        <v>46258.289537037039</v>
      </c>
      <c r="N631" t="s">
        <v>973</v>
      </c>
      <c r="O631" s="1442">
        <v>46272</v>
      </c>
      <c r="P631" s="1442">
        <v>46267.289537037039</v>
      </c>
    </row>
    <row r="632" spans="1:16">
      <c r="A632" t="s">
        <v>5227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5228</v>
      </c>
      <c r="J632" s="1442">
        <v>46204</v>
      </c>
      <c r="K632" s="1442">
        <v>46249</v>
      </c>
      <c r="L632" s="1442"/>
      <c r="M632" s="1442">
        <v>46258.289537037039</v>
      </c>
      <c r="N632" t="s">
        <v>973</v>
      </c>
      <c r="O632" s="1442">
        <v>46272</v>
      </c>
      <c r="P632" s="1442">
        <v>46267.289537037039</v>
      </c>
    </row>
    <row r="633" spans="1:16">
      <c r="A633" t="s">
        <v>5195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5196</v>
      </c>
      <c r="J633" s="1442">
        <v>46203</v>
      </c>
      <c r="K633" s="1442">
        <v>46246</v>
      </c>
      <c r="L633" s="1442"/>
      <c r="M633" s="1442">
        <v>46253.474305555559</v>
      </c>
      <c r="N633" t="s">
        <v>973</v>
      </c>
      <c r="O633" s="1442">
        <v>46267</v>
      </c>
      <c r="P633" s="1442">
        <v>46261.474305555559</v>
      </c>
    </row>
    <row r="634" spans="1:16">
      <c r="A634" t="s">
        <v>5185</v>
      </c>
      <c r="B634" t="s">
        <v>144</v>
      </c>
      <c r="C634" t="s">
        <v>145</v>
      </c>
      <c r="D634" t="s">
        <v>4526</v>
      </c>
      <c r="E634" t="s">
        <v>5036</v>
      </c>
      <c r="F634" t="s">
        <v>1807</v>
      </c>
      <c r="G634">
        <v>1188</v>
      </c>
      <c r="H634" t="s">
        <v>75</v>
      </c>
      <c r="I634" t="s">
        <v>5186</v>
      </c>
      <c r="J634" s="1442">
        <v>46204</v>
      </c>
      <c r="K634" s="1442">
        <v>46238</v>
      </c>
      <c r="L634" s="1442">
        <v>46244.291666666664</v>
      </c>
      <c r="M634" s="1442">
        <v>46244.348958333336</v>
      </c>
      <c r="N634" t="s">
        <v>973</v>
      </c>
      <c r="O634" s="1442">
        <v>46238</v>
      </c>
      <c r="P634" s="1442">
        <v>46244.348958333336</v>
      </c>
    </row>
    <row r="635" spans="1:16">
      <c r="A635" t="s">
        <v>5183</v>
      </c>
      <c r="B635" t="s">
        <v>144</v>
      </c>
      <c r="C635" t="s">
        <v>145</v>
      </c>
      <c r="D635" t="s">
        <v>4526</v>
      </c>
      <c r="E635" t="s">
        <v>5052</v>
      </c>
      <c r="F635" t="s">
        <v>1484</v>
      </c>
      <c r="G635">
        <v>2970</v>
      </c>
      <c r="H635" t="s">
        <v>75</v>
      </c>
      <c r="I635" t="s">
        <v>5184</v>
      </c>
      <c r="J635" s="1442">
        <v>46204</v>
      </c>
      <c r="K635" s="1442">
        <v>46249</v>
      </c>
      <c r="L635" s="1442">
        <v>46244.291666666664</v>
      </c>
      <c r="M635" s="1442">
        <v>46244.348958333336</v>
      </c>
      <c r="N635" t="s">
        <v>973</v>
      </c>
      <c r="O635" s="1442">
        <v>46249</v>
      </c>
      <c r="P635" s="1442">
        <v>46244.348958333336</v>
      </c>
    </row>
    <row r="636" spans="1:16">
      <c r="A636" t="s">
        <v>5179</v>
      </c>
      <c r="B636" t="s">
        <v>144</v>
      </c>
      <c r="C636" t="s">
        <v>145</v>
      </c>
      <c r="D636" t="s">
        <v>4526</v>
      </c>
      <c r="E636" t="s">
        <v>5052</v>
      </c>
      <c r="F636" t="s">
        <v>1484</v>
      </c>
      <c r="G636">
        <v>594</v>
      </c>
      <c r="H636" t="s">
        <v>75</v>
      </c>
      <c r="I636" t="s">
        <v>5180</v>
      </c>
      <c r="J636" s="1442">
        <v>46204</v>
      </c>
      <c r="K636" s="1442">
        <v>46249</v>
      </c>
      <c r="L636" s="1442">
        <v>46244.291666666664</v>
      </c>
      <c r="M636" s="1442">
        <v>46244.348958333336</v>
      </c>
      <c r="N636" t="s">
        <v>973</v>
      </c>
      <c r="O636" s="1442">
        <v>46249</v>
      </c>
      <c r="P636" s="1442">
        <v>46244.348958333336</v>
      </c>
    </row>
    <row r="637" spans="1:16">
      <c r="A637" t="s">
        <v>5174</v>
      </c>
      <c r="B637" t="s">
        <v>144</v>
      </c>
      <c r="C637" t="s">
        <v>145</v>
      </c>
      <c r="D637" t="s">
        <v>4526</v>
      </c>
      <c r="E637" t="s">
        <v>5052</v>
      </c>
      <c r="F637" t="s">
        <v>1484</v>
      </c>
      <c r="G637">
        <v>2970</v>
      </c>
      <c r="H637" t="s">
        <v>75</v>
      </c>
      <c r="I637" t="s">
        <v>5175</v>
      </c>
      <c r="J637" s="1442">
        <v>46203</v>
      </c>
      <c r="K637" s="1442">
        <v>46239</v>
      </c>
      <c r="L637" s="1442">
        <v>46260.5</v>
      </c>
      <c r="M637" s="1442">
        <v>46260</v>
      </c>
      <c r="N637" t="s">
        <v>973</v>
      </c>
      <c r="O637" s="1442">
        <v>46239</v>
      </c>
      <c r="P637" s="1442">
        <v>46260</v>
      </c>
    </row>
    <row r="638" spans="1:16">
      <c r="A638" t="s">
        <v>5167</v>
      </c>
      <c r="B638" t="s">
        <v>144</v>
      </c>
      <c r="C638" t="s">
        <v>145</v>
      </c>
      <c r="D638" t="s">
        <v>4526</v>
      </c>
      <c r="E638" t="s">
        <v>5036</v>
      </c>
      <c r="F638" t="s">
        <v>1807</v>
      </c>
      <c r="G638">
        <v>594</v>
      </c>
      <c r="H638" t="s">
        <v>75</v>
      </c>
      <c r="I638" t="s">
        <v>5169</v>
      </c>
      <c r="J638" s="1442">
        <v>46204</v>
      </c>
      <c r="K638" s="1442">
        <v>46238</v>
      </c>
      <c r="L638" s="1442">
        <v>46244.291666666664</v>
      </c>
      <c r="M638" s="1442">
        <v>46244.348958333336</v>
      </c>
      <c r="N638" t="s">
        <v>973</v>
      </c>
      <c r="O638" s="1442">
        <v>46238</v>
      </c>
      <c r="P638" s="1442">
        <v>46244.348958333336</v>
      </c>
    </row>
    <row r="639" spans="1:16">
      <c r="A639" t="s">
        <v>5162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5164</v>
      </c>
      <c r="J639" s="1442">
        <v>46202</v>
      </c>
      <c r="K639" s="1442">
        <v>46243</v>
      </c>
      <c r="L639" s="1442"/>
      <c r="M639" s="1442">
        <v>46256.481874999998</v>
      </c>
      <c r="N639" t="s">
        <v>973</v>
      </c>
      <c r="O639" s="1442">
        <v>46269</v>
      </c>
      <c r="P639" s="1442">
        <v>46263.481874999998</v>
      </c>
    </row>
    <row r="640" spans="1:16">
      <c r="A640" t="s">
        <v>5157</v>
      </c>
      <c r="B640" t="s">
        <v>64</v>
      </c>
      <c r="C640" t="s">
        <v>450</v>
      </c>
      <c r="D640" t="s">
        <v>4526</v>
      </c>
      <c r="E640" t="s">
        <v>1151</v>
      </c>
      <c r="F640" t="s">
        <v>421</v>
      </c>
      <c r="G640">
        <v>864</v>
      </c>
      <c r="H640" t="s">
        <v>75</v>
      </c>
      <c r="I640" t="s">
        <v>5158</v>
      </c>
      <c r="J640" s="1442">
        <v>46202</v>
      </c>
      <c r="K640" s="1442">
        <v>46243</v>
      </c>
      <c r="L640" s="1442"/>
      <c r="M640" s="1442">
        <v>46256.481874999998</v>
      </c>
      <c r="N640" t="s">
        <v>973</v>
      </c>
      <c r="O640" s="1442">
        <v>46269</v>
      </c>
      <c r="P640" s="1442">
        <v>46263.481874999998</v>
      </c>
    </row>
    <row r="641" spans="1:16">
      <c r="A641" t="s">
        <v>5141</v>
      </c>
      <c r="B641" t="s">
        <v>144</v>
      </c>
      <c r="C641" t="s">
        <v>145</v>
      </c>
      <c r="D641" t="s">
        <v>4526</v>
      </c>
      <c r="E641" t="s">
        <v>71</v>
      </c>
      <c r="F641" t="s">
        <v>72</v>
      </c>
      <c r="G641">
        <v>3456</v>
      </c>
      <c r="H641" t="s">
        <v>75</v>
      </c>
      <c r="I641" t="s">
        <v>5144</v>
      </c>
      <c r="J641" s="1442">
        <v>46201</v>
      </c>
      <c r="K641" s="1442">
        <v>46257</v>
      </c>
      <c r="L641" s="1442"/>
      <c r="M641" s="1442">
        <v>46260</v>
      </c>
      <c r="N641" t="s">
        <v>973</v>
      </c>
      <c r="O641" s="1442">
        <v>46257</v>
      </c>
      <c r="P641" s="1442">
        <v>46260</v>
      </c>
    </row>
    <row r="642" spans="1:16">
      <c r="A642" t="s">
        <v>5150</v>
      </c>
      <c r="B642" t="s">
        <v>144</v>
      </c>
      <c r="C642" t="s">
        <v>145</v>
      </c>
      <c r="D642" t="s">
        <v>4526</v>
      </c>
      <c r="E642" t="s">
        <v>71</v>
      </c>
      <c r="F642" t="s">
        <v>72</v>
      </c>
      <c r="G642">
        <v>4320</v>
      </c>
      <c r="H642" t="s">
        <v>75</v>
      </c>
      <c r="I642" t="s">
        <v>5152</v>
      </c>
      <c r="J642" s="1442">
        <v>46203</v>
      </c>
      <c r="K642" s="1442">
        <v>46249</v>
      </c>
      <c r="L642" s="1442">
        <v>46257</v>
      </c>
      <c r="M642" s="1442">
        <v>46252</v>
      </c>
      <c r="N642" t="s">
        <v>973</v>
      </c>
      <c r="O642" s="1442">
        <v>46249</v>
      </c>
      <c r="P642" s="1442">
        <v>46252</v>
      </c>
    </row>
    <row r="643" spans="1:16">
      <c r="A643" t="s">
        <v>5111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8197</v>
      </c>
      <c r="J643" s="1442">
        <v>46201</v>
      </c>
      <c r="K643" s="1442">
        <v>46250</v>
      </c>
      <c r="L643" s="1442">
        <v>46264.25</v>
      </c>
      <c r="M643" s="1442">
        <v>46264</v>
      </c>
      <c r="N643" t="s">
        <v>2434</v>
      </c>
      <c r="O643" s="1442">
        <v>46279</v>
      </c>
      <c r="P643" s="1442">
        <v>46274</v>
      </c>
    </row>
    <row r="644" spans="1:16">
      <c r="A644" t="s">
        <v>5106</v>
      </c>
      <c r="B644" t="s">
        <v>64</v>
      </c>
      <c r="C644" t="s">
        <v>310</v>
      </c>
      <c r="D644" t="s">
        <v>4526</v>
      </c>
      <c r="E644" t="s">
        <v>4587</v>
      </c>
      <c r="F644" t="s">
        <v>330</v>
      </c>
      <c r="G644">
        <v>2160</v>
      </c>
      <c r="H644" t="s">
        <v>75</v>
      </c>
      <c r="I644" t="s">
        <v>8195</v>
      </c>
      <c r="J644" s="1442">
        <v>46201</v>
      </c>
      <c r="K644" s="1442">
        <v>46250</v>
      </c>
      <c r="L644" s="1442">
        <v>46264</v>
      </c>
      <c r="M644" s="1442">
        <v>46264</v>
      </c>
      <c r="N644" t="s">
        <v>2434</v>
      </c>
      <c r="O644" s="1442">
        <v>46279</v>
      </c>
      <c r="P644" s="1442">
        <v>46274</v>
      </c>
    </row>
    <row r="645" spans="1:16">
      <c r="A645" t="s">
        <v>5096</v>
      </c>
      <c r="B645" t="s">
        <v>64</v>
      </c>
      <c r="C645" t="s">
        <v>65</v>
      </c>
      <c r="D645" t="s">
        <v>4526</v>
      </c>
      <c r="E645" t="s">
        <v>5097</v>
      </c>
      <c r="F645" t="s">
        <v>103</v>
      </c>
      <c r="G645">
        <v>4320</v>
      </c>
      <c r="H645" t="s">
        <v>75</v>
      </c>
      <c r="I645" t="s">
        <v>5098</v>
      </c>
      <c r="J645" s="1442">
        <v>46199</v>
      </c>
      <c r="K645" s="1442">
        <v>46251</v>
      </c>
      <c r="L645" s="1442"/>
      <c r="M645" s="1442">
        <v>46259.238761574074</v>
      </c>
      <c r="N645" t="s">
        <v>973</v>
      </c>
      <c r="O645" s="1442">
        <v>46272</v>
      </c>
      <c r="P645" s="1442">
        <v>46267.238761574074</v>
      </c>
    </row>
    <row r="646" spans="1:16">
      <c r="A646" t="s">
        <v>5094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8192</v>
      </c>
      <c r="J646" s="1442">
        <v>46199</v>
      </c>
      <c r="K646" s="1442">
        <v>46251</v>
      </c>
      <c r="L646" s="1442"/>
      <c r="M646" s="1442">
        <v>46259.238761574074</v>
      </c>
      <c r="N646" t="s">
        <v>973</v>
      </c>
      <c r="O646" s="1442">
        <v>46272</v>
      </c>
      <c r="P646" s="1442">
        <v>46267.238761574074</v>
      </c>
    </row>
    <row r="647" spans="1:16">
      <c r="A647" t="s">
        <v>5090</v>
      </c>
      <c r="B647" t="s">
        <v>64</v>
      </c>
      <c r="C647" t="s">
        <v>65</v>
      </c>
      <c r="D647" t="s">
        <v>4526</v>
      </c>
      <c r="E647" t="s">
        <v>5085</v>
      </c>
      <c r="F647" t="s">
        <v>330</v>
      </c>
      <c r="G647">
        <v>1440</v>
      </c>
      <c r="H647" t="s">
        <v>75</v>
      </c>
      <c r="I647" t="s">
        <v>8190</v>
      </c>
      <c r="J647" s="1442">
        <v>46199</v>
      </c>
      <c r="K647" s="1442">
        <v>46251</v>
      </c>
      <c r="L647" s="1442"/>
      <c r="M647" s="1442">
        <v>46259.238761574074</v>
      </c>
      <c r="N647" t="s">
        <v>973</v>
      </c>
      <c r="O647" s="1442">
        <v>46272</v>
      </c>
      <c r="P647" s="1442">
        <v>46267.238761574074</v>
      </c>
    </row>
    <row r="648" spans="1:16">
      <c r="A648" t="s">
        <v>5032</v>
      </c>
      <c r="B648" t="s">
        <v>64</v>
      </c>
      <c r="C648" t="s">
        <v>65</v>
      </c>
      <c r="D648" t="s">
        <v>4526</v>
      </c>
      <c r="E648" t="s">
        <v>1151</v>
      </c>
      <c r="F648" t="s">
        <v>421</v>
      </c>
      <c r="G648">
        <v>5184</v>
      </c>
      <c r="H648" t="s">
        <v>75</v>
      </c>
      <c r="I648" t="s">
        <v>5034</v>
      </c>
      <c r="J648" s="1442">
        <v>46198</v>
      </c>
      <c r="K648" s="1442">
        <v>46246</v>
      </c>
      <c r="L648" s="1442"/>
      <c r="M648" s="1442">
        <v>46246</v>
      </c>
      <c r="N648" t="s">
        <v>973</v>
      </c>
      <c r="O648" s="1442">
        <v>46260</v>
      </c>
      <c r="P648" s="1442">
        <v>46254</v>
      </c>
    </row>
    <row r="649" spans="1:16">
      <c r="A649" t="s">
        <v>5026</v>
      </c>
      <c r="B649" t="s">
        <v>64</v>
      </c>
      <c r="C649" t="s">
        <v>65</v>
      </c>
      <c r="D649" t="s">
        <v>4526</v>
      </c>
      <c r="E649" t="s">
        <v>71</v>
      </c>
      <c r="F649" t="s">
        <v>72</v>
      </c>
      <c r="G649">
        <v>5184</v>
      </c>
      <c r="H649" t="s">
        <v>75</v>
      </c>
      <c r="I649" t="s">
        <v>5028</v>
      </c>
      <c r="J649" s="1442">
        <v>46198</v>
      </c>
      <c r="K649" s="1442">
        <v>46246</v>
      </c>
      <c r="L649" s="1442"/>
      <c r="M649" s="1442">
        <v>46246</v>
      </c>
      <c r="N649" t="s">
        <v>973</v>
      </c>
      <c r="O649" s="1442">
        <v>46260</v>
      </c>
      <c r="P649" s="1442">
        <v>46254</v>
      </c>
    </row>
    <row r="650" spans="1:16">
      <c r="A650" t="s">
        <v>5189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5191</v>
      </c>
      <c r="J650" s="1442">
        <v>46203</v>
      </c>
      <c r="K650" s="1442">
        <v>46246</v>
      </c>
      <c r="L650" s="1442"/>
      <c r="M650" s="1442">
        <v>46253.474305555559</v>
      </c>
      <c r="N650" t="s">
        <v>973</v>
      </c>
      <c r="O650" s="1442">
        <v>46267</v>
      </c>
      <c r="P650" s="1442">
        <v>46261.474305555559</v>
      </c>
    </row>
    <row r="651" spans="1:16">
      <c r="A651" t="s">
        <v>5245</v>
      </c>
      <c r="B651" t="s">
        <v>64</v>
      </c>
      <c r="C651" t="s">
        <v>100</v>
      </c>
      <c r="D651" t="s">
        <v>4526</v>
      </c>
      <c r="E651" t="s">
        <v>195</v>
      </c>
      <c r="F651" t="s">
        <v>196</v>
      </c>
      <c r="G651">
        <v>3744</v>
      </c>
      <c r="H651" t="s">
        <v>75</v>
      </c>
      <c r="I651" t="s">
        <v>8185</v>
      </c>
      <c r="J651" s="1442">
        <v>46201</v>
      </c>
      <c r="K651" s="1442">
        <v>46245</v>
      </c>
      <c r="L651" s="1442"/>
      <c r="M651" s="1442">
        <v>46253.479062500002</v>
      </c>
      <c r="N651" t="s">
        <v>973</v>
      </c>
      <c r="O651" s="1442">
        <v>46272</v>
      </c>
      <c r="P651" s="1442">
        <v>46260.479062500002</v>
      </c>
    </row>
    <row r="652" spans="1:16">
      <c r="A652" t="s">
        <v>5235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5236</v>
      </c>
      <c r="J652" s="1442">
        <v>46204</v>
      </c>
      <c r="K652" s="1442">
        <v>46257</v>
      </c>
      <c r="L652" s="1442">
        <v>46272.25</v>
      </c>
      <c r="M652" s="1442">
        <v>46272.251446759263</v>
      </c>
      <c r="N652" t="s">
        <v>2434</v>
      </c>
      <c r="O652" s="1442">
        <v>46300</v>
      </c>
      <c r="P652" s="1442">
        <v>46282.251446759263</v>
      </c>
    </row>
    <row r="653" spans="1:16">
      <c r="A653" t="s">
        <v>5250</v>
      </c>
      <c r="B653" t="s">
        <v>64</v>
      </c>
      <c r="C653" t="s">
        <v>100</v>
      </c>
      <c r="D653" t="s">
        <v>4526</v>
      </c>
      <c r="E653" t="s">
        <v>195</v>
      </c>
      <c r="F653" t="s">
        <v>196</v>
      </c>
      <c r="G653">
        <v>936</v>
      </c>
      <c r="H653" t="s">
        <v>75</v>
      </c>
      <c r="I653" t="s">
        <v>5251</v>
      </c>
      <c r="J653" s="1442">
        <v>46201</v>
      </c>
      <c r="K653" s="1442">
        <v>46245</v>
      </c>
      <c r="L653" s="1442"/>
      <c r="M653" s="1442">
        <v>46253.479062500002</v>
      </c>
      <c r="N653" t="s">
        <v>973</v>
      </c>
      <c r="O653" s="1442">
        <v>46272</v>
      </c>
      <c r="P653" s="1442">
        <v>46260.479062500002</v>
      </c>
    </row>
    <row r="654" spans="1:16">
      <c r="A654" t="s">
        <v>5252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5254</v>
      </c>
      <c r="J654" s="1442">
        <v>46201</v>
      </c>
      <c r="K654" s="1442">
        <v>46263</v>
      </c>
      <c r="L654" s="1442">
        <v>46291.166666666664</v>
      </c>
      <c r="M654" s="1442" t="s">
        <v>2521</v>
      </c>
      <c r="N654" t="s">
        <v>2434</v>
      </c>
      <c r="O654" s="1442">
        <v>46297</v>
      </c>
      <c r="P654" s="1442">
        <v>46298.166666666664</v>
      </c>
    </row>
    <row r="655" spans="1:16">
      <c r="A655" t="s">
        <v>5257</v>
      </c>
      <c r="B655" t="s">
        <v>64</v>
      </c>
      <c r="C655" t="s">
        <v>450</v>
      </c>
      <c r="D655" t="s">
        <v>4526</v>
      </c>
      <c r="E655" t="s">
        <v>1151</v>
      </c>
      <c r="F655" t="s">
        <v>421</v>
      </c>
      <c r="G655">
        <v>864</v>
      </c>
      <c r="H655" t="s">
        <v>75</v>
      </c>
      <c r="I655" t="s">
        <v>5258</v>
      </c>
      <c r="J655" s="1442">
        <v>46201</v>
      </c>
      <c r="K655" s="1442">
        <v>46264</v>
      </c>
      <c r="L655" s="1442">
        <v>46274.999305555553</v>
      </c>
      <c r="M655" s="1442">
        <v>46275.009525462963</v>
      </c>
      <c r="N655" t="s">
        <v>2434</v>
      </c>
      <c r="O655" s="1442">
        <v>46288</v>
      </c>
      <c r="P655" s="1442">
        <v>46282.009525462963</v>
      </c>
    </row>
    <row r="656" spans="1:16">
      <c r="A656" t="s">
        <v>5084</v>
      </c>
      <c r="B656" t="s">
        <v>64</v>
      </c>
      <c r="C656" t="s">
        <v>65</v>
      </c>
      <c r="D656" t="s">
        <v>4526</v>
      </c>
      <c r="E656" t="s">
        <v>5085</v>
      </c>
      <c r="F656" t="s">
        <v>330</v>
      </c>
      <c r="G656">
        <v>720</v>
      </c>
      <c r="H656" t="s">
        <v>75</v>
      </c>
      <c r="I656" t="s">
        <v>5087</v>
      </c>
      <c r="J656" s="1442">
        <v>46199</v>
      </c>
      <c r="K656" s="1442">
        <v>46251</v>
      </c>
      <c r="L656" s="1442"/>
      <c r="M656" s="1442">
        <v>46259.238761574074</v>
      </c>
      <c r="N656" t="s">
        <v>973</v>
      </c>
      <c r="O656" s="1442">
        <v>46272</v>
      </c>
      <c r="P656" s="1442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1442">
        <v>46139</v>
      </c>
      <c r="K657" s="1442">
        <v>46207</v>
      </c>
      <c r="L657" s="1442">
        <v>46200</v>
      </c>
      <c r="M657" s="1442">
        <v>46200</v>
      </c>
      <c r="N657" t="s">
        <v>973</v>
      </c>
      <c r="O657" s="1442">
        <v>46213</v>
      </c>
      <c r="P657" s="1442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1442">
        <v>46139</v>
      </c>
      <c r="K658" s="1442">
        <v>46207</v>
      </c>
      <c r="L658" s="1442">
        <v>46200</v>
      </c>
      <c r="M658" s="1442">
        <v>46200</v>
      </c>
      <c r="N658" t="s">
        <v>973</v>
      </c>
      <c r="O658" s="1442">
        <v>46213</v>
      </c>
      <c r="P658" s="1442">
        <v>46207</v>
      </c>
    </row>
    <row r="659" spans="1:16">
      <c r="A659" t="s">
        <v>5207</v>
      </c>
      <c r="B659" t="s">
        <v>64</v>
      </c>
      <c r="C659" t="s">
        <v>65</v>
      </c>
      <c r="D659" t="s">
        <v>4526</v>
      </c>
      <c r="E659" t="s">
        <v>71</v>
      </c>
      <c r="F659" t="s">
        <v>72</v>
      </c>
      <c r="G659">
        <v>2592</v>
      </c>
      <c r="H659" t="s">
        <v>75</v>
      </c>
      <c r="I659" t="s">
        <v>5208</v>
      </c>
      <c r="J659" s="1442">
        <v>46207</v>
      </c>
      <c r="K659" s="1442">
        <v>46258</v>
      </c>
      <c r="L659" s="1442">
        <v>46271.25</v>
      </c>
      <c r="M659" s="1442">
        <v>46271.279085648152</v>
      </c>
      <c r="N659" t="s">
        <v>2434</v>
      </c>
      <c r="O659" s="1442">
        <v>46283</v>
      </c>
      <c r="P659" s="1442">
        <v>46279.279085648152</v>
      </c>
    </row>
    <row r="660" spans="1:16">
      <c r="A660" t="s">
        <v>5204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5205</v>
      </c>
      <c r="J660" s="1442">
        <v>46207</v>
      </c>
      <c r="K660" s="1442">
        <v>46258</v>
      </c>
      <c r="L660" s="1442">
        <v>46271.25</v>
      </c>
      <c r="M660" s="1442">
        <v>46271.279085648152</v>
      </c>
      <c r="N660" t="s">
        <v>2434</v>
      </c>
      <c r="O660" s="1442">
        <v>46283</v>
      </c>
      <c r="P660" s="1442">
        <v>46279.279085648152</v>
      </c>
    </row>
    <row r="661" spans="1:16">
      <c r="A661" t="s">
        <v>5197</v>
      </c>
      <c r="B661" t="s">
        <v>64</v>
      </c>
      <c r="C661" t="s">
        <v>65</v>
      </c>
      <c r="D661" t="s">
        <v>4526</v>
      </c>
      <c r="E661" t="s">
        <v>5085</v>
      </c>
      <c r="F661" t="s">
        <v>330</v>
      </c>
      <c r="G661">
        <v>1440</v>
      </c>
      <c r="H661" t="s">
        <v>75</v>
      </c>
      <c r="I661" t="s">
        <v>5200</v>
      </c>
      <c r="J661" s="1442">
        <v>46207</v>
      </c>
      <c r="K661" s="1442">
        <v>46258</v>
      </c>
      <c r="L661" s="1442">
        <v>46271.25</v>
      </c>
      <c r="M661" s="1442">
        <v>46271.279085648152</v>
      </c>
      <c r="N661" t="s">
        <v>2434</v>
      </c>
      <c r="O661" s="1442">
        <v>46283</v>
      </c>
      <c r="P661" s="1442">
        <v>46279.279085648152</v>
      </c>
    </row>
    <row r="662" spans="1:16">
      <c r="A662" t="s">
        <v>5213</v>
      </c>
      <c r="B662" t="s">
        <v>64</v>
      </c>
      <c r="C662" t="s">
        <v>65</v>
      </c>
      <c r="D662" t="s">
        <v>4526</v>
      </c>
      <c r="E662" t="s">
        <v>71</v>
      </c>
      <c r="F662" t="s">
        <v>72</v>
      </c>
      <c r="G662">
        <v>2592</v>
      </c>
      <c r="H662" t="s">
        <v>75</v>
      </c>
      <c r="I662" t="s">
        <v>5214</v>
      </c>
      <c r="J662" s="1442">
        <v>46207</v>
      </c>
      <c r="K662" s="1442">
        <v>46258</v>
      </c>
      <c r="L662" s="1442">
        <v>46271.25</v>
      </c>
      <c r="M662" s="1442">
        <v>46271.279085648152</v>
      </c>
      <c r="N662" t="s">
        <v>2434</v>
      </c>
      <c r="O662" s="1442">
        <v>46283</v>
      </c>
      <c r="P662" s="1442">
        <v>46279.279085648152</v>
      </c>
    </row>
    <row r="663" spans="1:16">
      <c r="A663" t="s">
        <v>5237</v>
      </c>
      <c r="B663" t="s">
        <v>64</v>
      </c>
      <c r="C663" t="s">
        <v>450</v>
      </c>
      <c r="D663" t="s">
        <v>4526</v>
      </c>
      <c r="E663" t="s">
        <v>195</v>
      </c>
      <c r="F663" t="s">
        <v>196</v>
      </c>
      <c r="G663">
        <v>936</v>
      </c>
      <c r="H663" t="s">
        <v>75</v>
      </c>
      <c r="I663" t="s">
        <v>5238</v>
      </c>
      <c r="J663" s="1442">
        <v>46206</v>
      </c>
      <c r="K663" s="1442">
        <v>46257</v>
      </c>
      <c r="L663" s="1442">
        <v>46264.041666666664</v>
      </c>
      <c r="M663" s="1442">
        <v>46263.989421296297</v>
      </c>
      <c r="N663" t="s">
        <v>973</v>
      </c>
      <c r="O663" s="1442">
        <v>46276</v>
      </c>
      <c r="P663" s="1442">
        <v>46270.989421296297</v>
      </c>
    </row>
    <row r="664" spans="1:16">
      <c r="A664" t="s">
        <v>5261</v>
      </c>
      <c r="B664" t="s">
        <v>144</v>
      </c>
      <c r="C664" t="s">
        <v>145</v>
      </c>
      <c r="D664" t="s">
        <v>4526</v>
      </c>
      <c r="E664" t="s">
        <v>4587</v>
      </c>
      <c r="F664" t="s">
        <v>330</v>
      </c>
      <c r="G664">
        <v>3600</v>
      </c>
      <c r="H664" t="s">
        <v>75</v>
      </c>
      <c r="I664" t="s">
        <v>5266</v>
      </c>
      <c r="J664" s="1442">
        <v>46208</v>
      </c>
      <c r="K664" s="1442">
        <v>46269</v>
      </c>
      <c r="L664" s="1442"/>
      <c r="M664" s="1442">
        <v>46295</v>
      </c>
      <c r="N664" t="s">
        <v>10240</v>
      </c>
      <c r="O664" s="1442" t="s">
        <v>2521</v>
      </c>
      <c r="P664" s="1442">
        <v>46295</v>
      </c>
    </row>
    <row r="665" spans="1:16">
      <c r="A665" t="s">
        <v>5241</v>
      </c>
      <c r="B665" t="s">
        <v>64</v>
      </c>
      <c r="C665" t="s">
        <v>65</v>
      </c>
      <c r="D665" t="s">
        <v>4526</v>
      </c>
      <c r="E665" t="s">
        <v>691</v>
      </c>
      <c r="F665" t="s">
        <v>692</v>
      </c>
      <c r="G665">
        <v>864</v>
      </c>
      <c r="H665" t="s">
        <v>75</v>
      </c>
      <c r="I665" t="s">
        <v>5242</v>
      </c>
      <c r="J665" s="1442">
        <v>46206</v>
      </c>
      <c r="K665" s="1442">
        <v>46260</v>
      </c>
      <c r="L665" s="1442">
        <v>46275.291666666664</v>
      </c>
      <c r="M665" s="1442">
        <v>46275.245208333334</v>
      </c>
      <c r="N665" t="s">
        <v>2434</v>
      </c>
      <c r="O665" s="1442">
        <v>46286</v>
      </c>
      <c r="P665" s="1442">
        <v>46285.245208333334</v>
      </c>
    </row>
    <row r="666" spans="1:16">
      <c r="A666" t="s">
        <v>5276</v>
      </c>
      <c r="B666" t="s">
        <v>144</v>
      </c>
      <c r="C666" t="s">
        <v>145</v>
      </c>
      <c r="D666" t="s">
        <v>4526</v>
      </c>
      <c r="E666" t="s">
        <v>5036</v>
      </c>
      <c r="F666" t="s">
        <v>1807</v>
      </c>
      <c r="G666">
        <v>1188</v>
      </c>
      <c r="H666" t="s">
        <v>75</v>
      </c>
      <c r="I666" t="s">
        <v>5277</v>
      </c>
      <c r="J666" s="1442">
        <v>46208</v>
      </c>
      <c r="K666" s="1442">
        <v>46245</v>
      </c>
      <c r="L666" s="1442"/>
      <c r="M666" s="1442">
        <v>46253.479062500002</v>
      </c>
      <c r="N666" t="s">
        <v>973</v>
      </c>
      <c r="O666" s="1442">
        <v>46245</v>
      </c>
      <c r="P666" s="1442">
        <v>46253.479062500002</v>
      </c>
    </row>
    <row r="667" spans="1:16">
      <c r="A667" t="s">
        <v>5282</v>
      </c>
      <c r="B667" t="s">
        <v>144</v>
      </c>
      <c r="C667" t="s">
        <v>145</v>
      </c>
      <c r="D667" t="s">
        <v>4526</v>
      </c>
      <c r="E667" t="s">
        <v>5036</v>
      </c>
      <c r="F667" t="s">
        <v>1807</v>
      </c>
      <c r="G667">
        <v>4752</v>
      </c>
      <c r="H667" t="s">
        <v>75</v>
      </c>
      <c r="I667" t="s">
        <v>5283</v>
      </c>
      <c r="J667" s="1442">
        <v>46208</v>
      </c>
      <c r="K667" s="1442">
        <v>46256</v>
      </c>
      <c r="L667" s="1442"/>
      <c r="M667" s="1442">
        <v>46253.479062500002</v>
      </c>
      <c r="N667" t="s">
        <v>973</v>
      </c>
      <c r="O667" s="1442">
        <v>46256</v>
      </c>
      <c r="P667" s="1442">
        <v>46253.479062500002</v>
      </c>
    </row>
    <row r="668" spans="1:16">
      <c r="A668" t="s">
        <v>5287</v>
      </c>
      <c r="B668" t="s">
        <v>144</v>
      </c>
      <c r="C668" t="s">
        <v>145</v>
      </c>
      <c r="D668" t="s">
        <v>4526</v>
      </c>
      <c r="E668" t="s">
        <v>5036</v>
      </c>
      <c r="F668" t="s">
        <v>1807</v>
      </c>
      <c r="G668">
        <v>2970</v>
      </c>
      <c r="H668" t="s">
        <v>75</v>
      </c>
      <c r="I668" t="s">
        <v>5288</v>
      </c>
      <c r="J668" s="1442">
        <v>46209</v>
      </c>
      <c r="K668" s="1442">
        <v>46246</v>
      </c>
      <c r="L668" s="1442">
        <v>46260.5</v>
      </c>
      <c r="M668" s="1442">
        <v>46260</v>
      </c>
      <c r="N668" t="s">
        <v>973</v>
      </c>
      <c r="O668" s="1442">
        <v>46246</v>
      </c>
      <c r="P668" s="1442">
        <v>46260</v>
      </c>
    </row>
    <row r="669" spans="1:16">
      <c r="A669" t="s">
        <v>5172</v>
      </c>
      <c r="B669" t="s">
        <v>144</v>
      </c>
      <c r="C669" t="s">
        <v>145</v>
      </c>
      <c r="D669" t="s">
        <v>4526</v>
      </c>
      <c r="E669" t="s">
        <v>5036</v>
      </c>
      <c r="F669" t="s">
        <v>1807</v>
      </c>
      <c r="G669">
        <v>5940</v>
      </c>
      <c r="H669" t="s">
        <v>75</v>
      </c>
      <c r="I669" t="s">
        <v>5173</v>
      </c>
      <c r="J669" s="1442">
        <v>46204</v>
      </c>
      <c r="K669" s="1442">
        <v>46238</v>
      </c>
      <c r="L669" s="1442">
        <v>46244.291666666664</v>
      </c>
      <c r="M669" s="1442">
        <v>46244.348958333336</v>
      </c>
      <c r="N669" t="s">
        <v>973</v>
      </c>
      <c r="O669" s="1442">
        <v>46238</v>
      </c>
      <c r="P669" s="1442">
        <v>46244.348958333336</v>
      </c>
    </row>
    <row r="670" spans="1:16">
      <c r="A670" t="s">
        <v>5280</v>
      </c>
      <c r="B670" t="s">
        <v>144</v>
      </c>
      <c r="C670" t="s">
        <v>145</v>
      </c>
      <c r="D670" t="s">
        <v>4526</v>
      </c>
      <c r="E670" t="s">
        <v>5052</v>
      </c>
      <c r="F670" t="s">
        <v>1484</v>
      </c>
      <c r="G670">
        <v>5346</v>
      </c>
      <c r="H670" t="s">
        <v>75</v>
      </c>
      <c r="I670" t="s">
        <v>5281</v>
      </c>
      <c r="J670" s="1442">
        <v>46208</v>
      </c>
      <c r="K670" s="1442">
        <v>46245</v>
      </c>
      <c r="L670" s="1442"/>
      <c r="M670" s="1442">
        <v>46253.479062500002</v>
      </c>
      <c r="N670" t="s">
        <v>973</v>
      </c>
      <c r="O670" s="1442">
        <v>46245</v>
      </c>
      <c r="P670" s="1442">
        <v>46253.479062500002</v>
      </c>
    </row>
    <row r="671" spans="1:16">
      <c r="A671" t="s">
        <v>5211</v>
      </c>
      <c r="B671" t="s">
        <v>64</v>
      </c>
      <c r="C671" t="s">
        <v>65</v>
      </c>
      <c r="D671" t="s">
        <v>4526</v>
      </c>
      <c r="E671" t="s">
        <v>1151</v>
      </c>
      <c r="F671" t="s">
        <v>421</v>
      </c>
      <c r="G671">
        <v>5184</v>
      </c>
      <c r="H671" t="s">
        <v>75</v>
      </c>
      <c r="I671" t="s">
        <v>5212</v>
      </c>
      <c r="J671" s="1442">
        <v>46207</v>
      </c>
      <c r="K671" s="1442">
        <v>46258</v>
      </c>
      <c r="L671" s="1442">
        <v>46271.25</v>
      </c>
      <c r="M671" s="1442">
        <v>46271.279085648152</v>
      </c>
      <c r="N671" t="s">
        <v>2434</v>
      </c>
      <c r="O671" s="1442">
        <v>46283</v>
      </c>
      <c r="P671" s="1442">
        <v>46279.279085648152</v>
      </c>
    </row>
    <row r="672" spans="1:16">
      <c r="A672" t="s">
        <v>5217</v>
      </c>
      <c r="B672" t="s">
        <v>64</v>
      </c>
      <c r="C672" t="s">
        <v>65</v>
      </c>
      <c r="D672" t="s">
        <v>4526</v>
      </c>
      <c r="E672" t="s">
        <v>1151</v>
      </c>
      <c r="F672" t="s">
        <v>421</v>
      </c>
      <c r="G672">
        <v>2592</v>
      </c>
      <c r="H672" t="s">
        <v>75</v>
      </c>
      <c r="I672" t="s">
        <v>5219</v>
      </c>
      <c r="J672" s="1442">
        <v>46207</v>
      </c>
      <c r="K672" s="1442">
        <v>46258</v>
      </c>
      <c r="L672" s="1442">
        <v>46271.25</v>
      </c>
      <c r="M672" s="1442">
        <v>46271.279085648152</v>
      </c>
      <c r="N672" t="s">
        <v>2434</v>
      </c>
      <c r="O672" s="1442">
        <v>46283</v>
      </c>
      <c r="P672" s="1442">
        <v>46279.279085648152</v>
      </c>
    </row>
    <row r="673" spans="1:16">
      <c r="A673" t="s">
        <v>5270</v>
      </c>
      <c r="B673" t="s">
        <v>144</v>
      </c>
      <c r="C673" t="s">
        <v>145</v>
      </c>
      <c r="D673" t="s">
        <v>4526</v>
      </c>
      <c r="E673" t="s">
        <v>71</v>
      </c>
      <c r="F673" t="s">
        <v>72</v>
      </c>
      <c r="G673">
        <v>2592</v>
      </c>
      <c r="H673" t="s">
        <v>75</v>
      </c>
      <c r="I673" t="s">
        <v>5272</v>
      </c>
      <c r="J673" s="1442">
        <v>46209</v>
      </c>
      <c r="K673" s="1442">
        <v>46260</v>
      </c>
      <c r="L673" s="1442">
        <v>46264.541666666664</v>
      </c>
      <c r="M673" s="1442">
        <v>46264</v>
      </c>
      <c r="N673" t="s">
        <v>973</v>
      </c>
      <c r="O673" s="1442">
        <v>46260</v>
      </c>
      <c r="P673" s="1442">
        <v>46264</v>
      </c>
    </row>
    <row r="674" spans="1:16">
      <c r="A674" t="s">
        <v>5220</v>
      </c>
      <c r="B674" t="s">
        <v>64</v>
      </c>
      <c r="C674" t="s">
        <v>65</v>
      </c>
      <c r="D674" t="s">
        <v>4526</v>
      </c>
      <c r="E674" t="s">
        <v>1151</v>
      </c>
      <c r="F674" t="s">
        <v>421</v>
      </c>
      <c r="G674">
        <v>864</v>
      </c>
      <c r="H674" t="s">
        <v>75</v>
      </c>
      <c r="I674" t="s">
        <v>5221</v>
      </c>
      <c r="J674" s="1442">
        <v>46207</v>
      </c>
      <c r="K674" s="1442">
        <v>46258</v>
      </c>
      <c r="L674" s="1442">
        <v>46271.25</v>
      </c>
      <c r="M674" s="1442">
        <v>46271.279085648152</v>
      </c>
      <c r="N674" t="s">
        <v>2434</v>
      </c>
      <c r="O674" s="1442">
        <v>46283</v>
      </c>
      <c r="P674" s="1442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1442">
        <v>46146</v>
      </c>
      <c r="K675" s="1442">
        <v>46209</v>
      </c>
      <c r="L675" s="1442">
        <v>46209</v>
      </c>
      <c r="M675" s="1442">
        <v>46210</v>
      </c>
      <c r="N675" t="s">
        <v>973</v>
      </c>
      <c r="O675" s="1442">
        <v>46223</v>
      </c>
      <c r="P675" s="1442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1442">
        <v>46146</v>
      </c>
      <c r="K676" s="1442">
        <v>46209</v>
      </c>
      <c r="L676" s="1442">
        <v>46209</v>
      </c>
      <c r="M676" s="1442">
        <v>46210</v>
      </c>
      <c r="N676" t="s">
        <v>973</v>
      </c>
      <c r="O676" s="1442">
        <v>46223</v>
      </c>
      <c r="P676" s="1442">
        <v>46210</v>
      </c>
    </row>
    <row r="677" spans="1:16">
      <c r="A677" t="s">
        <v>4545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4548</v>
      </c>
      <c r="J677" s="1442">
        <v>46164</v>
      </c>
      <c r="K677" s="1442">
        <v>46223</v>
      </c>
      <c r="L677" s="1442">
        <v>46235</v>
      </c>
      <c r="M677" s="1442">
        <v>46236.239571759259</v>
      </c>
      <c r="N677" t="s">
        <v>973</v>
      </c>
      <c r="O677" s="1442">
        <v>46244</v>
      </c>
      <c r="P677" s="1442">
        <v>46236.239571759259</v>
      </c>
    </row>
    <row r="678" spans="1:16">
      <c r="A678" t="s">
        <v>4551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4554</v>
      </c>
      <c r="J678" s="1442">
        <v>46164</v>
      </c>
      <c r="K678" s="1442">
        <v>46223</v>
      </c>
      <c r="L678" s="1442">
        <v>46235</v>
      </c>
      <c r="M678" s="1442">
        <v>46236.239571759259</v>
      </c>
      <c r="N678" t="s">
        <v>973</v>
      </c>
      <c r="O678" s="1442">
        <v>46244</v>
      </c>
      <c r="P678" s="1442">
        <v>46236.239571759259</v>
      </c>
    </row>
    <row r="679" spans="1:16">
      <c r="A679" t="s">
        <v>4642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4644</v>
      </c>
      <c r="J679" s="1442">
        <v>46168</v>
      </c>
      <c r="K679" s="1442">
        <v>46204</v>
      </c>
      <c r="L679" s="1442"/>
      <c r="M679" s="1442">
        <v>46204</v>
      </c>
      <c r="N679" t="s">
        <v>973</v>
      </c>
      <c r="O679" s="1442">
        <v>46218</v>
      </c>
      <c r="P679" s="1442">
        <v>46213</v>
      </c>
    </row>
    <row r="680" spans="1:16">
      <c r="A680" t="s">
        <v>4647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4649</v>
      </c>
      <c r="J680" s="1442">
        <v>46168</v>
      </c>
      <c r="K680" s="1442">
        <v>46204</v>
      </c>
      <c r="L680" s="1442"/>
      <c r="M680" s="1442">
        <v>46204</v>
      </c>
      <c r="N680" t="s">
        <v>973</v>
      </c>
      <c r="O680" s="1442">
        <v>46218</v>
      </c>
      <c r="P680" s="1442">
        <v>46213</v>
      </c>
    </row>
    <row r="681" spans="1:16">
      <c r="A681" t="s">
        <v>4650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4651</v>
      </c>
      <c r="J681" s="1442">
        <v>46168</v>
      </c>
      <c r="K681" s="1442">
        <v>46204</v>
      </c>
      <c r="L681" s="1442"/>
      <c r="M681" s="1442">
        <v>46204</v>
      </c>
      <c r="N681" t="s">
        <v>973</v>
      </c>
      <c r="O681" s="1442">
        <v>46215</v>
      </c>
      <c r="P681" s="1442">
        <v>46213</v>
      </c>
    </row>
    <row r="682" spans="1:16">
      <c r="A682" t="s">
        <v>5357</v>
      </c>
      <c r="B682" t="s">
        <v>144</v>
      </c>
      <c r="C682" t="s">
        <v>145</v>
      </c>
      <c r="D682" t="s">
        <v>4526</v>
      </c>
      <c r="E682" t="s">
        <v>706</v>
      </c>
      <c r="F682" t="s">
        <v>707</v>
      </c>
      <c r="G682">
        <v>864</v>
      </c>
      <c r="H682" t="s">
        <v>951</v>
      </c>
      <c r="I682" t="s">
        <v>5359</v>
      </c>
      <c r="J682" s="1442">
        <v>46212</v>
      </c>
      <c r="K682" s="1442">
        <v>46274</v>
      </c>
      <c r="L682" s="1442">
        <v>46289.25</v>
      </c>
      <c r="M682" s="1442" t="s">
        <v>2521</v>
      </c>
      <c r="N682" t="s">
        <v>973</v>
      </c>
      <c r="O682" s="1442">
        <v>46274</v>
      </c>
      <c r="P682" s="1442">
        <v>46289.25</v>
      </c>
    </row>
    <row r="683" spans="1:16">
      <c r="A683" t="s">
        <v>5362</v>
      </c>
      <c r="B683" t="s">
        <v>144</v>
      </c>
      <c r="C683" t="s">
        <v>145</v>
      </c>
      <c r="D683" t="s">
        <v>4526</v>
      </c>
      <c r="E683" t="s">
        <v>706</v>
      </c>
      <c r="F683" t="s">
        <v>707</v>
      </c>
      <c r="G683">
        <v>864</v>
      </c>
      <c r="H683" t="s">
        <v>951</v>
      </c>
      <c r="I683" t="s">
        <v>5364</v>
      </c>
      <c r="J683" s="1442">
        <v>46212</v>
      </c>
      <c r="K683" s="1442">
        <v>46274</v>
      </c>
      <c r="L683" s="1442">
        <v>46289.25</v>
      </c>
      <c r="M683" s="1442" t="s">
        <v>2521</v>
      </c>
      <c r="N683" t="s">
        <v>973</v>
      </c>
      <c r="O683" s="1442">
        <v>46274</v>
      </c>
      <c r="P683" s="1442">
        <v>46289.25</v>
      </c>
    </row>
    <row r="684" spans="1:16">
      <c r="A684" t="s">
        <v>5352</v>
      </c>
      <c r="B684" t="s">
        <v>144</v>
      </c>
      <c r="C684" t="s">
        <v>145</v>
      </c>
      <c r="D684" t="s">
        <v>4526</v>
      </c>
      <c r="E684" t="s">
        <v>706</v>
      </c>
      <c r="F684" t="s">
        <v>707</v>
      </c>
      <c r="G684">
        <v>864</v>
      </c>
      <c r="H684" t="s">
        <v>951</v>
      </c>
      <c r="I684" t="s">
        <v>5354</v>
      </c>
      <c r="J684" s="1442">
        <v>46212</v>
      </c>
      <c r="K684" s="1442">
        <v>46279</v>
      </c>
      <c r="L684" s="1442">
        <v>46285.041666666664</v>
      </c>
      <c r="M684" s="1442" t="s">
        <v>2521</v>
      </c>
      <c r="N684" t="s">
        <v>973</v>
      </c>
      <c r="O684" s="1442">
        <v>46279</v>
      </c>
      <c r="P684" s="1442">
        <v>46285.041666666664</v>
      </c>
    </row>
    <row r="685" spans="1:16">
      <c r="A685" t="s">
        <v>5326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5327</v>
      </c>
      <c r="J685" s="1442">
        <v>46210</v>
      </c>
      <c r="K685" s="1442">
        <v>46253</v>
      </c>
      <c r="L685" s="1442">
        <v>46272.833333333336</v>
      </c>
      <c r="M685" s="1442">
        <v>46272.251446759263</v>
      </c>
      <c r="N685" t="s">
        <v>2434</v>
      </c>
      <c r="O685" s="1442">
        <v>46286</v>
      </c>
      <c r="P685" s="1442">
        <v>46280.251446759263</v>
      </c>
    </row>
    <row r="686" spans="1:16">
      <c r="A686" t="s">
        <v>5320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5322</v>
      </c>
      <c r="J686" s="1442">
        <v>46210</v>
      </c>
      <c r="K686" s="1442">
        <v>46253</v>
      </c>
      <c r="L686" s="1442">
        <v>46272.833333333336</v>
      </c>
      <c r="M686" s="1442">
        <v>46272.251446759263</v>
      </c>
      <c r="N686" t="s">
        <v>2434</v>
      </c>
      <c r="O686" s="1442">
        <v>46286</v>
      </c>
      <c r="P686" s="1442">
        <v>46280.251446759263</v>
      </c>
    </row>
    <row r="687" spans="1:16">
      <c r="A687" t="s">
        <v>5347</v>
      </c>
      <c r="B687" t="s">
        <v>144</v>
      </c>
      <c r="C687" t="s">
        <v>145</v>
      </c>
      <c r="D687" t="s">
        <v>4526</v>
      </c>
      <c r="E687" t="s">
        <v>706</v>
      </c>
      <c r="F687" t="s">
        <v>707</v>
      </c>
      <c r="G687">
        <v>2592</v>
      </c>
      <c r="H687" t="s">
        <v>951</v>
      </c>
      <c r="I687" t="s">
        <v>5349</v>
      </c>
      <c r="J687" s="1442">
        <v>46212</v>
      </c>
      <c r="K687" s="1442">
        <v>46279</v>
      </c>
      <c r="L687" s="1442">
        <v>46285.041666666664</v>
      </c>
      <c r="M687" s="1442" t="s">
        <v>2521</v>
      </c>
      <c r="N687" t="s">
        <v>973</v>
      </c>
      <c r="O687" s="1442">
        <v>46279</v>
      </c>
      <c r="P687" s="1442">
        <v>46285.041666666664</v>
      </c>
    </row>
    <row r="688" spans="1:16">
      <c r="A688" t="s">
        <v>5339</v>
      </c>
      <c r="B688" t="s">
        <v>64</v>
      </c>
      <c r="C688" t="s">
        <v>310</v>
      </c>
      <c r="D688" t="s">
        <v>284</v>
      </c>
      <c r="E688" t="s">
        <v>5340</v>
      </c>
      <c r="F688" t="s">
        <v>5341</v>
      </c>
      <c r="G688">
        <v>720</v>
      </c>
      <c r="H688" t="s">
        <v>951</v>
      </c>
      <c r="I688" t="s">
        <v>5343</v>
      </c>
      <c r="J688" s="1442">
        <v>46212</v>
      </c>
      <c r="K688" s="1442">
        <v>46283</v>
      </c>
      <c r="L688" s="1442">
        <v>46298.75</v>
      </c>
      <c r="M688" s="1442"/>
      <c r="N688" t="s">
        <v>2434</v>
      </c>
      <c r="O688" s="1442">
        <v>46307</v>
      </c>
      <c r="P688" s="1442">
        <v>46308.75</v>
      </c>
    </row>
    <row r="689" spans="1:16">
      <c r="A689" t="s">
        <v>5373</v>
      </c>
      <c r="B689" t="s">
        <v>64</v>
      </c>
      <c r="C689" t="s">
        <v>450</v>
      </c>
      <c r="D689" t="s">
        <v>5374</v>
      </c>
      <c r="E689" t="s">
        <v>5375</v>
      </c>
      <c r="F689" t="s">
        <v>5376</v>
      </c>
      <c r="G689">
        <v>936</v>
      </c>
      <c r="H689" t="s">
        <v>75</v>
      </c>
      <c r="I689" t="s">
        <v>5377</v>
      </c>
      <c r="J689" s="1442">
        <v>46220</v>
      </c>
      <c r="K689" s="1442">
        <v>46257</v>
      </c>
      <c r="L689" s="1442"/>
      <c r="M689" s="1442">
        <v>46253.739166666666</v>
      </c>
      <c r="N689" t="s">
        <v>973</v>
      </c>
      <c r="O689" s="1442">
        <v>46267</v>
      </c>
      <c r="P689" s="1442">
        <v>46260.739166666666</v>
      </c>
    </row>
    <row r="690" spans="1:16">
      <c r="A690" t="s">
        <v>5482</v>
      </c>
      <c r="B690" t="s">
        <v>64</v>
      </c>
      <c r="C690" t="s">
        <v>65</v>
      </c>
      <c r="D690" t="s">
        <v>4526</v>
      </c>
      <c r="E690" t="s">
        <v>691</v>
      </c>
      <c r="F690" t="s">
        <v>692</v>
      </c>
      <c r="G690">
        <v>1728</v>
      </c>
      <c r="H690" t="s">
        <v>951</v>
      </c>
      <c r="I690" t="s">
        <v>5483</v>
      </c>
      <c r="J690" s="1442">
        <v>46218</v>
      </c>
      <c r="K690" s="1442">
        <v>46281</v>
      </c>
      <c r="L690" s="1442">
        <v>46282.833333333336</v>
      </c>
      <c r="M690" s="1442" t="s">
        <v>2521</v>
      </c>
      <c r="N690" t="s">
        <v>2434</v>
      </c>
      <c r="O690" s="1442">
        <v>46295</v>
      </c>
      <c r="P690" s="1442">
        <v>46290.833333333336</v>
      </c>
    </row>
    <row r="691" spans="1:16">
      <c r="A691" t="s">
        <v>5477</v>
      </c>
      <c r="B691" t="s">
        <v>64</v>
      </c>
      <c r="C691" t="s">
        <v>65</v>
      </c>
      <c r="D691" t="s">
        <v>4526</v>
      </c>
      <c r="E691" t="s">
        <v>691</v>
      </c>
      <c r="F691" t="s">
        <v>692</v>
      </c>
      <c r="G691">
        <v>3456</v>
      </c>
      <c r="H691" t="s">
        <v>951</v>
      </c>
      <c r="I691" t="s">
        <v>5478</v>
      </c>
      <c r="J691" s="1442">
        <v>46218</v>
      </c>
      <c r="K691" s="1442">
        <v>46286</v>
      </c>
      <c r="L691" s="1442">
        <v>46297.916666666664</v>
      </c>
      <c r="M691" s="1442" t="s">
        <v>2521</v>
      </c>
      <c r="N691" t="s">
        <v>2434</v>
      </c>
      <c r="O691" s="1442">
        <v>46300</v>
      </c>
      <c r="P691" s="1442">
        <v>46305.916666666664</v>
      </c>
    </row>
    <row r="692" spans="1:16">
      <c r="A692" t="s">
        <v>5474</v>
      </c>
      <c r="B692" t="s">
        <v>144</v>
      </c>
      <c r="C692" t="s">
        <v>145</v>
      </c>
      <c r="D692" t="s">
        <v>4526</v>
      </c>
      <c r="E692" t="s">
        <v>706</v>
      </c>
      <c r="F692" t="s">
        <v>707</v>
      </c>
      <c r="G692">
        <v>864</v>
      </c>
      <c r="H692" t="s">
        <v>75</v>
      </c>
      <c r="I692" t="s">
        <v>5476</v>
      </c>
      <c r="J692" s="1442">
        <v>46216</v>
      </c>
      <c r="K692" s="1442">
        <v>46260</v>
      </c>
      <c r="L692" s="1442">
        <v>46272.833333333336</v>
      </c>
      <c r="M692" s="1442">
        <v>46272.644375000003</v>
      </c>
      <c r="N692" t="s">
        <v>973</v>
      </c>
      <c r="O692" s="1442">
        <v>46260</v>
      </c>
      <c r="P692" s="1442">
        <v>46272.644375000003</v>
      </c>
    </row>
    <row r="693" spans="1:16">
      <c r="A693" t="s">
        <v>5471</v>
      </c>
      <c r="B693" t="s">
        <v>144</v>
      </c>
      <c r="C693" t="s">
        <v>145</v>
      </c>
      <c r="D693" t="s">
        <v>4526</v>
      </c>
      <c r="E693" t="s">
        <v>706</v>
      </c>
      <c r="F693" t="s">
        <v>707</v>
      </c>
      <c r="G693">
        <v>864</v>
      </c>
      <c r="H693" t="s">
        <v>75</v>
      </c>
      <c r="I693" t="s">
        <v>5473</v>
      </c>
      <c r="J693" s="1442">
        <v>46216</v>
      </c>
      <c r="K693" s="1442">
        <v>46260</v>
      </c>
      <c r="L693" s="1442">
        <v>46272.833333333336</v>
      </c>
      <c r="M693" s="1442">
        <v>46272.644375000003</v>
      </c>
      <c r="N693" t="s">
        <v>973</v>
      </c>
      <c r="O693" s="1442">
        <v>46260</v>
      </c>
      <c r="P693" s="1442">
        <v>46272.644375000003</v>
      </c>
    </row>
    <row r="694" spans="1:16">
      <c r="A694" t="s">
        <v>5468</v>
      </c>
      <c r="B694" t="s">
        <v>144</v>
      </c>
      <c r="C694" t="s">
        <v>145</v>
      </c>
      <c r="D694" t="s">
        <v>4526</v>
      </c>
      <c r="E694" t="s">
        <v>706</v>
      </c>
      <c r="F694" t="s">
        <v>707</v>
      </c>
      <c r="G694">
        <v>864</v>
      </c>
      <c r="H694" t="s">
        <v>75</v>
      </c>
      <c r="I694" t="s">
        <v>5470</v>
      </c>
      <c r="J694" s="1442">
        <v>46216</v>
      </c>
      <c r="K694" s="1442">
        <v>46260</v>
      </c>
      <c r="L694" s="1442">
        <v>46272.833333333336</v>
      </c>
      <c r="M694" s="1442">
        <v>46272.644375000003</v>
      </c>
      <c r="N694" t="s">
        <v>973</v>
      </c>
      <c r="O694" s="1442">
        <v>46260</v>
      </c>
      <c r="P694" s="1442">
        <v>46272.644375000003</v>
      </c>
    </row>
    <row r="695" spans="1:16">
      <c r="A695" t="s">
        <v>5462</v>
      </c>
      <c r="B695" t="s">
        <v>144</v>
      </c>
      <c r="C695" t="s">
        <v>145</v>
      </c>
      <c r="D695" t="s">
        <v>4526</v>
      </c>
      <c r="E695" t="s">
        <v>706</v>
      </c>
      <c r="F695" t="s">
        <v>707</v>
      </c>
      <c r="G695">
        <v>864</v>
      </c>
      <c r="H695" t="s">
        <v>75</v>
      </c>
      <c r="I695" t="s">
        <v>5464</v>
      </c>
      <c r="J695" s="1442">
        <v>46216</v>
      </c>
      <c r="K695" s="1442">
        <v>46260</v>
      </c>
      <c r="L695" s="1442">
        <v>46272.833333333336</v>
      </c>
      <c r="M695" s="1442">
        <v>46272.644375000003</v>
      </c>
      <c r="N695" t="s">
        <v>973</v>
      </c>
      <c r="O695" s="1442">
        <v>46260</v>
      </c>
      <c r="P695" s="1442">
        <v>46272.644375000003</v>
      </c>
    </row>
    <row r="696" spans="1:16">
      <c r="A696" t="s">
        <v>5457</v>
      </c>
      <c r="B696" t="s">
        <v>144</v>
      </c>
      <c r="C696" t="s">
        <v>145</v>
      </c>
      <c r="D696" t="s">
        <v>4526</v>
      </c>
      <c r="E696" t="s">
        <v>706</v>
      </c>
      <c r="F696" t="s">
        <v>707</v>
      </c>
      <c r="G696">
        <v>1728</v>
      </c>
      <c r="H696" t="s">
        <v>75</v>
      </c>
      <c r="I696" t="s">
        <v>5458</v>
      </c>
      <c r="J696" s="1442">
        <v>46216</v>
      </c>
      <c r="K696" s="1442">
        <v>46260</v>
      </c>
      <c r="L696" s="1442">
        <v>46272.833333333336</v>
      </c>
      <c r="M696" s="1442">
        <v>46272.644375000003</v>
      </c>
      <c r="N696" t="s">
        <v>973</v>
      </c>
      <c r="O696" s="1442">
        <v>46260</v>
      </c>
      <c r="P696" s="1442">
        <v>46272.644375000003</v>
      </c>
    </row>
    <row r="697" spans="1:16">
      <c r="A697" t="s">
        <v>5312</v>
      </c>
      <c r="B697" t="s">
        <v>144</v>
      </c>
      <c r="C697" t="s">
        <v>145</v>
      </c>
      <c r="D697" t="s">
        <v>4526</v>
      </c>
      <c r="E697" t="s">
        <v>706</v>
      </c>
      <c r="F697" t="s">
        <v>707</v>
      </c>
      <c r="G697">
        <v>864</v>
      </c>
      <c r="H697" t="s">
        <v>75</v>
      </c>
      <c r="I697" t="s">
        <v>5317</v>
      </c>
      <c r="J697" s="1442">
        <v>46217</v>
      </c>
      <c r="K697" s="1442">
        <v>46265</v>
      </c>
      <c r="L697" s="1442">
        <v>46278.083333333336</v>
      </c>
      <c r="M697" s="1442">
        <v>46278.186840277776</v>
      </c>
      <c r="N697" t="s">
        <v>973</v>
      </c>
      <c r="O697" s="1442">
        <v>46265</v>
      </c>
      <c r="P697" s="1442">
        <v>46278.186840277776</v>
      </c>
    </row>
    <row r="698" spans="1:16">
      <c r="A698" t="s">
        <v>5486</v>
      </c>
      <c r="B698" t="s">
        <v>64</v>
      </c>
      <c r="C698" t="s">
        <v>100</v>
      </c>
      <c r="D698" t="s">
        <v>4526</v>
      </c>
      <c r="E698" t="s">
        <v>195</v>
      </c>
      <c r="F698" t="s">
        <v>196</v>
      </c>
      <c r="G698">
        <v>4680</v>
      </c>
      <c r="H698" t="s">
        <v>75</v>
      </c>
      <c r="I698" t="s">
        <v>5487</v>
      </c>
      <c r="J698" s="1442">
        <v>46218</v>
      </c>
      <c r="K698" s="1442">
        <v>46252</v>
      </c>
      <c r="L698" s="1442">
        <v>46266</v>
      </c>
      <c r="M698" s="1442">
        <v>46265</v>
      </c>
      <c r="N698" t="s">
        <v>2434</v>
      </c>
      <c r="O698" s="1442">
        <v>46279</v>
      </c>
      <c r="P698" s="1442">
        <v>46272</v>
      </c>
    </row>
    <row r="699" spans="1:16">
      <c r="A699" t="s">
        <v>5367</v>
      </c>
      <c r="B699" t="s">
        <v>144</v>
      </c>
      <c r="C699" t="s">
        <v>145</v>
      </c>
      <c r="D699" t="s">
        <v>4526</v>
      </c>
      <c r="E699" t="s">
        <v>71</v>
      </c>
      <c r="F699" t="s">
        <v>72</v>
      </c>
      <c r="G699">
        <v>3456</v>
      </c>
      <c r="H699" t="s">
        <v>951</v>
      </c>
      <c r="I699" t="s">
        <v>5369</v>
      </c>
      <c r="J699" s="1442">
        <v>46219</v>
      </c>
      <c r="K699" s="1442">
        <v>46267</v>
      </c>
      <c r="L699" s="1442">
        <v>46285.25</v>
      </c>
      <c r="M699" s="1442"/>
      <c r="N699" t="s">
        <v>973</v>
      </c>
      <c r="O699" s="1442">
        <v>46267</v>
      </c>
      <c r="P699" s="1442">
        <v>46285.25</v>
      </c>
    </row>
    <row r="700" spans="1:16">
      <c r="A700" t="s">
        <v>5306</v>
      </c>
      <c r="B700" t="s">
        <v>64</v>
      </c>
      <c r="C700" t="s">
        <v>65</v>
      </c>
      <c r="D700" t="s">
        <v>4526</v>
      </c>
      <c r="E700" t="s">
        <v>5097</v>
      </c>
      <c r="F700" t="s">
        <v>103</v>
      </c>
      <c r="G700">
        <v>2880</v>
      </c>
      <c r="H700" t="s">
        <v>75</v>
      </c>
      <c r="I700" t="s">
        <v>5307</v>
      </c>
      <c r="J700" s="1442">
        <v>46217</v>
      </c>
      <c r="K700" s="1442">
        <v>46265</v>
      </c>
      <c r="L700" s="1442">
        <v>46278.083333333336</v>
      </c>
      <c r="M700" s="1442">
        <v>46278.186840277776</v>
      </c>
      <c r="N700" t="s">
        <v>2434</v>
      </c>
      <c r="O700" s="1442">
        <v>46290</v>
      </c>
      <c r="P700" s="1442">
        <v>46286.186840277776</v>
      </c>
    </row>
    <row r="701" spans="1:16">
      <c r="A701" t="s">
        <v>5409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5410</v>
      </c>
      <c r="J701" s="1442">
        <v>46215</v>
      </c>
      <c r="K701" s="1442">
        <v>46263</v>
      </c>
      <c r="L701" s="1442">
        <v>46274.291666666664</v>
      </c>
      <c r="M701" s="1442">
        <v>46274.338287037041</v>
      </c>
      <c r="N701" t="s">
        <v>2434</v>
      </c>
      <c r="O701" s="1442">
        <v>46286</v>
      </c>
      <c r="P701" s="1442">
        <v>46281.338287037041</v>
      </c>
    </row>
    <row r="702" spans="1:16">
      <c r="A702" t="s">
        <v>5414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5415</v>
      </c>
      <c r="J702" s="1442">
        <v>46215</v>
      </c>
      <c r="K702" s="1442">
        <v>46263</v>
      </c>
      <c r="L702" s="1442">
        <v>46274.291666666664</v>
      </c>
      <c r="M702" s="1442">
        <v>46274.338287037041</v>
      </c>
      <c r="N702" t="s">
        <v>2434</v>
      </c>
      <c r="O702" s="1442">
        <v>46286</v>
      </c>
      <c r="P702" s="1442">
        <v>46281.338287037041</v>
      </c>
    </row>
    <row r="703" spans="1:16">
      <c r="A703" t="s">
        <v>5298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5300</v>
      </c>
      <c r="J703" s="1442">
        <v>46217</v>
      </c>
      <c r="K703" s="1442">
        <v>46260</v>
      </c>
      <c r="L703" s="1442">
        <v>46274.333333333336</v>
      </c>
      <c r="M703" s="1442">
        <v>46274.416041666664</v>
      </c>
      <c r="N703" t="s">
        <v>2434</v>
      </c>
      <c r="O703" s="1442">
        <v>46288</v>
      </c>
      <c r="P703" s="1442">
        <v>46284.416041666664</v>
      </c>
    </row>
    <row r="704" spans="1:16">
      <c r="A704" t="s">
        <v>5301</v>
      </c>
      <c r="B704" t="s">
        <v>64</v>
      </c>
      <c r="C704" t="s">
        <v>65</v>
      </c>
      <c r="D704" t="s">
        <v>4526</v>
      </c>
      <c r="E704" t="s">
        <v>5097</v>
      </c>
      <c r="F704" t="s">
        <v>103</v>
      </c>
      <c r="G704">
        <v>4320</v>
      </c>
      <c r="H704" t="s">
        <v>75</v>
      </c>
      <c r="I704" t="s">
        <v>5303</v>
      </c>
      <c r="J704" s="1442">
        <v>46217</v>
      </c>
      <c r="K704" s="1442">
        <v>46265</v>
      </c>
      <c r="L704" s="1442">
        <v>46278.083333333336</v>
      </c>
      <c r="M704" s="1442">
        <v>46278.186840277776</v>
      </c>
      <c r="N704" t="s">
        <v>2434</v>
      </c>
      <c r="O704" s="1442">
        <v>46290</v>
      </c>
      <c r="P704" s="1442">
        <v>46286.186840277776</v>
      </c>
    </row>
    <row r="705" spans="1:16">
      <c r="A705" t="s">
        <v>5292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5294</v>
      </c>
      <c r="J705" s="1442">
        <v>46217</v>
      </c>
      <c r="K705" s="1442">
        <v>46260</v>
      </c>
      <c r="L705" s="1442">
        <v>46274.333333333336</v>
      </c>
      <c r="M705" s="1442">
        <v>46274.416041666664</v>
      </c>
      <c r="N705" t="s">
        <v>2434</v>
      </c>
      <c r="O705" s="1442">
        <v>46288</v>
      </c>
      <c r="P705" s="1442">
        <v>46284.416041666664</v>
      </c>
    </row>
    <row r="706" spans="1:16">
      <c r="A706" t="s">
        <v>5310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5311</v>
      </c>
      <c r="J706" s="1442">
        <v>46217</v>
      </c>
      <c r="K706" s="1442">
        <v>46265</v>
      </c>
      <c r="L706" s="1442">
        <v>46278.083333333336</v>
      </c>
      <c r="M706" s="1442">
        <v>46278.186840277776</v>
      </c>
      <c r="N706" t="s">
        <v>2434</v>
      </c>
      <c r="O706" s="1442">
        <v>46290</v>
      </c>
      <c r="P706" s="1442">
        <v>46286.186840277776</v>
      </c>
    </row>
    <row r="707" spans="1:16">
      <c r="A707" t="s">
        <v>5308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5309</v>
      </c>
      <c r="J707" s="1442">
        <v>46217</v>
      </c>
      <c r="K707" s="1442">
        <v>46265</v>
      </c>
      <c r="L707" s="1442">
        <v>46278.083333333336</v>
      </c>
      <c r="M707" s="1442">
        <v>46278.186840277776</v>
      </c>
      <c r="N707" t="s">
        <v>2434</v>
      </c>
      <c r="O707" s="1442">
        <v>46290</v>
      </c>
      <c r="P707" s="1442">
        <v>46286.186840277776</v>
      </c>
    </row>
    <row r="708" spans="1:16">
      <c r="A708" t="s">
        <v>5416</v>
      </c>
      <c r="B708" t="s">
        <v>64</v>
      </c>
      <c r="C708" t="s">
        <v>100</v>
      </c>
      <c r="D708" t="s">
        <v>5374</v>
      </c>
      <c r="E708" t="s">
        <v>5375</v>
      </c>
      <c r="F708" t="s">
        <v>5376</v>
      </c>
      <c r="G708">
        <v>1872</v>
      </c>
      <c r="H708" t="s">
        <v>75</v>
      </c>
      <c r="I708" t="s">
        <v>5418</v>
      </c>
      <c r="J708" s="1442">
        <v>46215</v>
      </c>
      <c r="K708" s="1442">
        <v>46263</v>
      </c>
      <c r="L708" s="1442">
        <v>46274.291666666664</v>
      </c>
      <c r="M708" s="1442">
        <v>46274.338287037041</v>
      </c>
      <c r="N708" t="s">
        <v>2434</v>
      </c>
      <c r="O708" s="1442">
        <v>46286</v>
      </c>
      <c r="P708" s="1442">
        <v>46281.338287037041</v>
      </c>
    </row>
    <row r="709" spans="1:16">
      <c r="A709" t="s">
        <v>5401</v>
      </c>
      <c r="B709" t="s">
        <v>144</v>
      </c>
      <c r="C709" t="s">
        <v>145</v>
      </c>
      <c r="D709" t="s">
        <v>4526</v>
      </c>
      <c r="E709" t="s">
        <v>5036</v>
      </c>
      <c r="F709" t="s">
        <v>1807</v>
      </c>
      <c r="G709">
        <v>1782</v>
      </c>
      <c r="H709" t="s">
        <v>75</v>
      </c>
      <c r="I709" t="s">
        <v>5403</v>
      </c>
      <c r="J709" s="1442">
        <v>46216</v>
      </c>
      <c r="K709" s="1442">
        <v>46253</v>
      </c>
      <c r="L709" s="1442">
        <v>46260.5</v>
      </c>
      <c r="M709" s="1442">
        <v>46260</v>
      </c>
      <c r="N709" t="s">
        <v>973</v>
      </c>
      <c r="O709" s="1442">
        <v>46253</v>
      </c>
      <c r="P709" s="1442">
        <v>46260</v>
      </c>
    </row>
    <row r="710" spans="1:16">
      <c r="A710" t="s">
        <v>5407</v>
      </c>
      <c r="B710" t="s">
        <v>144</v>
      </c>
      <c r="C710" t="s">
        <v>145</v>
      </c>
      <c r="D710" t="s">
        <v>4526</v>
      </c>
      <c r="E710" t="s">
        <v>5036</v>
      </c>
      <c r="F710" t="s">
        <v>1807</v>
      </c>
      <c r="G710">
        <v>1188</v>
      </c>
      <c r="H710" t="s">
        <v>75</v>
      </c>
      <c r="I710" t="s">
        <v>5408</v>
      </c>
      <c r="J710" s="1442">
        <v>46216</v>
      </c>
      <c r="K710" s="1442">
        <v>46253</v>
      </c>
      <c r="L710" s="1442">
        <v>46260.5</v>
      </c>
      <c r="M710" s="1442">
        <v>46260</v>
      </c>
      <c r="N710" t="s">
        <v>973</v>
      </c>
      <c r="O710" s="1442">
        <v>46253</v>
      </c>
      <c r="P710" s="1442">
        <v>46260</v>
      </c>
    </row>
    <row r="711" spans="1:16">
      <c r="A711" t="s">
        <v>5569</v>
      </c>
      <c r="B711" t="s">
        <v>64</v>
      </c>
      <c r="C711" t="s">
        <v>65</v>
      </c>
      <c r="D711" t="s">
        <v>4526</v>
      </c>
      <c r="E711" t="s">
        <v>691</v>
      </c>
      <c r="F711" t="s">
        <v>692</v>
      </c>
      <c r="G711">
        <v>864</v>
      </c>
      <c r="H711" t="s">
        <v>951</v>
      </c>
      <c r="I711" t="s">
        <v>5570</v>
      </c>
      <c r="J711" s="1442">
        <v>46222</v>
      </c>
      <c r="K711" s="1442">
        <v>46288</v>
      </c>
      <c r="L711" s="1442">
        <v>46289.25</v>
      </c>
      <c r="M711" s="1442" t="s">
        <v>2521</v>
      </c>
      <c r="N711" t="s">
        <v>2434</v>
      </c>
      <c r="O711" s="1442">
        <v>46314</v>
      </c>
      <c r="P711" s="1442">
        <v>46297.25</v>
      </c>
    </row>
    <row r="712" spans="1:16">
      <c r="A712" t="s">
        <v>5565</v>
      </c>
      <c r="B712" t="s">
        <v>64</v>
      </c>
      <c r="C712" t="s">
        <v>65</v>
      </c>
      <c r="D712" t="s">
        <v>4526</v>
      </c>
      <c r="E712" t="s">
        <v>691</v>
      </c>
      <c r="F712" t="s">
        <v>692</v>
      </c>
      <c r="G712">
        <v>864</v>
      </c>
      <c r="H712" t="s">
        <v>951</v>
      </c>
      <c r="I712" t="s">
        <v>5566</v>
      </c>
      <c r="J712" s="1442">
        <v>46222.458333333336</v>
      </c>
      <c r="K712" s="1442">
        <v>46288</v>
      </c>
      <c r="L712" s="1442">
        <v>46289.25</v>
      </c>
      <c r="M712" s="1442" t="s">
        <v>2521</v>
      </c>
      <c r="N712" t="s">
        <v>2434</v>
      </c>
      <c r="O712" s="1442">
        <v>46314</v>
      </c>
      <c r="P712" s="1442">
        <v>46297.25</v>
      </c>
    </row>
    <row r="713" spans="1:16">
      <c r="A713" t="s">
        <v>5560</v>
      </c>
      <c r="B713" t="s">
        <v>64</v>
      </c>
      <c r="C713" t="s">
        <v>65</v>
      </c>
      <c r="D713" t="s">
        <v>4526</v>
      </c>
      <c r="E713" t="s">
        <v>691</v>
      </c>
      <c r="F713" t="s">
        <v>692</v>
      </c>
      <c r="G713">
        <v>3456</v>
      </c>
      <c r="H713" t="s">
        <v>951</v>
      </c>
      <c r="I713" t="s">
        <v>5561</v>
      </c>
      <c r="J713" s="1442">
        <v>46222.458333333336</v>
      </c>
      <c r="K713" s="1442">
        <v>46293</v>
      </c>
      <c r="L713" s="1442">
        <v>46313.791666666664</v>
      </c>
      <c r="M713" s="1442" t="s">
        <v>2521</v>
      </c>
      <c r="N713" t="s">
        <v>2434</v>
      </c>
      <c r="O713" s="1442">
        <v>46314</v>
      </c>
      <c r="P713" s="1442">
        <v>46321.791666666664</v>
      </c>
    </row>
    <row r="714" spans="1:16">
      <c r="A714" t="s">
        <v>5447</v>
      </c>
      <c r="B714" t="s">
        <v>64</v>
      </c>
      <c r="C714" t="s">
        <v>65</v>
      </c>
      <c r="D714" t="s">
        <v>4526</v>
      </c>
      <c r="E714" t="s">
        <v>691</v>
      </c>
      <c r="F714" t="s">
        <v>692</v>
      </c>
      <c r="G714">
        <v>2592</v>
      </c>
      <c r="H714" t="s">
        <v>75</v>
      </c>
      <c r="I714" t="s">
        <v>5448</v>
      </c>
      <c r="J714" s="1442">
        <v>46222</v>
      </c>
      <c r="K714" s="1442">
        <v>46272</v>
      </c>
      <c r="L714" s="1442">
        <v>46278.083333333336</v>
      </c>
      <c r="M714" s="1442">
        <v>46278.186840277776</v>
      </c>
      <c r="N714" t="s">
        <v>2434</v>
      </c>
      <c r="O714" s="1442">
        <v>46290</v>
      </c>
      <c r="P714" s="1442">
        <v>46286.186840277776</v>
      </c>
    </row>
    <row r="715" spans="1:16">
      <c r="A715" t="s">
        <v>5441</v>
      </c>
      <c r="B715" t="s">
        <v>64</v>
      </c>
      <c r="C715" t="s">
        <v>65</v>
      </c>
      <c r="D715" t="s">
        <v>4526</v>
      </c>
      <c r="E715" t="s">
        <v>691</v>
      </c>
      <c r="F715" t="s">
        <v>692</v>
      </c>
      <c r="G715">
        <v>5184</v>
      </c>
      <c r="H715" t="s">
        <v>75</v>
      </c>
      <c r="I715" t="s">
        <v>5442</v>
      </c>
      <c r="J715" s="1442">
        <v>46222</v>
      </c>
      <c r="K715" s="1442">
        <v>46272</v>
      </c>
      <c r="L715" s="1442">
        <v>46278.083333333336</v>
      </c>
      <c r="M715" s="1442">
        <v>46278.186840277776</v>
      </c>
      <c r="N715" t="s">
        <v>2434</v>
      </c>
      <c r="O715" s="1442">
        <v>46290</v>
      </c>
      <c r="P715" s="1442">
        <v>46286.186840277776</v>
      </c>
    </row>
    <row r="716" spans="1:16">
      <c r="A716" t="s">
        <v>5454</v>
      </c>
      <c r="B716" t="s">
        <v>144</v>
      </c>
      <c r="C716" t="s">
        <v>145</v>
      </c>
      <c r="D716" t="s">
        <v>4526</v>
      </c>
      <c r="E716" t="s">
        <v>706</v>
      </c>
      <c r="F716" t="s">
        <v>707</v>
      </c>
      <c r="G716">
        <v>864</v>
      </c>
      <c r="H716" t="s">
        <v>75</v>
      </c>
      <c r="I716" t="s">
        <v>5456</v>
      </c>
      <c r="J716" s="1442">
        <v>46222</v>
      </c>
      <c r="K716" s="1442">
        <v>46272</v>
      </c>
      <c r="L716" s="1442">
        <v>46278.083333333336</v>
      </c>
      <c r="M716" s="1442">
        <v>46278.186840277776</v>
      </c>
      <c r="N716" t="s">
        <v>973</v>
      </c>
      <c r="O716" s="1442">
        <v>46272</v>
      </c>
      <c r="P716" s="1442">
        <v>46278.186840277776</v>
      </c>
    </row>
    <row r="717" spans="1:16">
      <c r="A717" t="s">
        <v>5449</v>
      </c>
      <c r="B717" t="s">
        <v>144</v>
      </c>
      <c r="C717" t="s">
        <v>145</v>
      </c>
      <c r="D717" t="s">
        <v>4526</v>
      </c>
      <c r="E717" t="s">
        <v>706</v>
      </c>
      <c r="F717" t="s">
        <v>707</v>
      </c>
      <c r="G717">
        <v>2592</v>
      </c>
      <c r="H717" t="s">
        <v>75</v>
      </c>
      <c r="I717" t="s">
        <v>5451</v>
      </c>
      <c r="J717" s="1442">
        <v>46222</v>
      </c>
      <c r="K717" s="1442">
        <v>46272</v>
      </c>
      <c r="L717" s="1442">
        <v>46278.083333333336</v>
      </c>
      <c r="M717" s="1442">
        <v>46278.186840277776</v>
      </c>
      <c r="N717" t="s">
        <v>973</v>
      </c>
      <c r="O717" s="1442">
        <v>46272</v>
      </c>
      <c r="P717" s="1442">
        <v>46278.186840277776</v>
      </c>
    </row>
    <row r="718" spans="1:16">
      <c r="A718" t="s">
        <v>5445</v>
      </c>
      <c r="B718" t="s">
        <v>64</v>
      </c>
      <c r="C718" t="s">
        <v>65</v>
      </c>
      <c r="D718" t="s">
        <v>4526</v>
      </c>
      <c r="E718" t="s">
        <v>706</v>
      </c>
      <c r="F718" t="s">
        <v>707</v>
      </c>
      <c r="G718">
        <v>864</v>
      </c>
      <c r="H718" t="s">
        <v>75</v>
      </c>
      <c r="I718" t="s">
        <v>5446</v>
      </c>
      <c r="J718" s="1442">
        <v>46222</v>
      </c>
      <c r="K718" s="1442">
        <v>46272</v>
      </c>
      <c r="L718" s="1442">
        <v>46278.083333333336</v>
      </c>
      <c r="M718" s="1442">
        <v>46278.186840277776</v>
      </c>
      <c r="N718" t="s">
        <v>2434</v>
      </c>
      <c r="O718" s="1442">
        <v>46290</v>
      </c>
      <c r="P718" s="1442">
        <v>46286.186840277776</v>
      </c>
    </row>
    <row r="719" spans="1:16">
      <c r="A719" t="s">
        <v>5431</v>
      </c>
      <c r="B719" t="s">
        <v>64</v>
      </c>
      <c r="C719" t="s">
        <v>100</v>
      </c>
      <c r="D719" t="s">
        <v>4526</v>
      </c>
      <c r="E719" t="s">
        <v>1151</v>
      </c>
      <c r="F719" t="s">
        <v>421</v>
      </c>
      <c r="G719">
        <v>5184</v>
      </c>
      <c r="H719" t="s">
        <v>75</v>
      </c>
      <c r="I719" t="s">
        <v>5432</v>
      </c>
      <c r="J719" s="1442">
        <v>46221</v>
      </c>
      <c r="K719" s="1442">
        <v>46263</v>
      </c>
      <c r="L719" s="1442"/>
      <c r="M719" s="1442">
        <v>46267</v>
      </c>
      <c r="N719" t="s">
        <v>2434</v>
      </c>
      <c r="O719" s="1442">
        <v>46279</v>
      </c>
      <c r="P719" s="1442">
        <v>46274</v>
      </c>
    </row>
    <row r="720" spans="1:16">
      <c r="A720" t="s">
        <v>5425</v>
      </c>
      <c r="B720" t="s">
        <v>64</v>
      </c>
      <c r="C720" t="s">
        <v>100</v>
      </c>
      <c r="D720" t="s">
        <v>4526</v>
      </c>
      <c r="E720" t="s">
        <v>1151</v>
      </c>
      <c r="F720" t="s">
        <v>421</v>
      </c>
      <c r="G720">
        <v>2592</v>
      </c>
      <c r="H720" t="s">
        <v>75</v>
      </c>
      <c r="I720" t="s">
        <v>5426</v>
      </c>
      <c r="J720" s="1442">
        <v>46221</v>
      </c>
      <c r="K720" s="1442">
        <v>46263</v>
      </c>
      <c r="L720" s="1442"/>
      <c r="M720" s="1442">
        <v>46267</v>
      </c>
      <c r="N720" t="s">
        <v>2434</v>
      </c>
      <c r="O720" s="1442">
        <v>46279</v>
      </c>
      <c r="P720" s="1442">
        <v>46274</v>
      </c>
    </row>
    <row r="721" spans="1:16">
      <c r="A721" t="s">
        <v>5419</v>
      </c>
      <c r="B721" t="s">
        <v>64</v>
      </c>
      <c r="C721" t="s">
        <v>100</v>
      </c>
      <c r="D721" t="s">
        <v>4526</v>
      </c>
      <c r="E721" t="s">
        <v>1151</v>
      </c>
      <c r="F721" t="s">
        <v>421</v>
      </c>
      <c r="G721">
        <v>4320</v>
      </c>
      <c r="H721" t="s">
        <v>75</v>
      </c>
      <c r="I721" t="s">
        <v>5420</v>
      </c>
      <c r="J721" s="1442">
        <v>46221</v>
      </c>
      <c r="K721" s="1442">
        <v>46263</v>
      </c>
      <c r="L721" s="1442"/>
      <c r="M721" s="1442">
        <v>46267</v>
      </c>
      <c r="N721" t="s">
        <v>2434</v>
      </c>
      <c r="O721" s="1442">
        <v>46279</v>
      </c>
      <c r="P721" s="1442">
        <v>46274</v>
      </c>
    </row>
    <row r="722" spans="1:16">
      <c r="A722" t="s">
        <v>5575</v>
      </c>
      <c r="B722" t="s">
        <v>64</v>
      </c>
      <c r="C722" t="s">
        <v>100</v>
      </c>
      <c r="D722" t="s">
        <v>4526</v>
      </c>
      <c r="E722" t="s">
        <v>195</v>
      </c>
      <c r="F722" t="s">
        <v>196</v>
      </c>
      <c r="G722">
        <v>936</v>
      </c>
      <c r="H722" t="s">
        <v>75</v>
      </c>
      <c r="I722" t="s">
        <v>5576</v>
      </c>
      <c r="J722" s="1442">
        <v>46222</v>
      </c>
      <c r="K722" s="1442">
        <v>46266</v>
      </c>
      <c r="L722" s="1442">
        <v>46270.645833333336</v>
      </c>
      <c r="M722" s="1442">
        <v>46270.66238425926</v>
      </c>
      <c r="N722" t="s">
        <v>2434</v>
      </c>
      <c r="O722" s="1442">
        <v>46283</v>
      </c>
      <c r="P722" s="1442">
        <v>46277.66238425926</v>
      </c>
    </row>
    <row r="723" spans="1:16">
      <c r="A723" t="s">
        <v>5571</v>
      </c>
      <c r="B723" t="s">
        <v>64</v>
      </c>
      <c r="C723" t="s">
        <v>100</v>
      </c>
      <c r="D723" t="s">
        <v>4526</v>
      </c>
      <c r="E723" t="s">
        <v>195</v>
      </c>
      <c r="F723" t="s">
        <v>196</v>
      </c>
      <c r="G723">
        <v>2808</v>
      </c>
      <c r="H723" t="s">
        <v>75</v>
      </c>
      <c r="I723" t="s">
        <v>5572</v>
      </c>
      <c r="J723" s="1442">
        <v>46222</v>
      </c>
      <c r="K723" s="1442">
        <v>46266</v>
      </c>
      <c r="L723" s="1442">
        <v>46270.645833333336</v>
      </c>
      <c r="M723" s="1442">
        <v>46270.66238425926</v>
      </c>
      <c r="N723" t="s">
        <v>2434</v>
      </c>
      <c r="O723" s="1442">
        <v>46283</v>
      </c>
      <c r="P723" s="1442">
        <v>46277.66238425926</v>
      </c>
    </row>
    <row r="724" spans="1:16">
      <c r="A724" t="s">
        <v>5510</v>
      </c>
      <c r="B724" t="s">
        <v>64</v>
      </c>
      <c r="C724" t="s">
        <v>100</v>
      </c>
      <c r="D724" t="s">
        <v>4526</v>
      </c>
      <c r="E724" t="s">
        <v>5085</v>
      </c>
      <c r="F724" t="s">
        <v>330</v>
      </c>
      <c r="G724">
        <v>720</v>
      </c>
      <c r="H724" t="s">
        <v>75</v>
      </c>
      <c r="I724" t="s">
        <v>5511</v>
      </c>
      <c r="J724" s="1442">
        <v>46223</v>
      </c>
      <c r="K724" s="1442">
        <v>46260</v>
      </c>
      <c r="L724" s="1442">
        <v>46270.833333333336</v>
      </c>
      <c r="M724" s="1442">
        <v>46270.874618055554</v>
      </c>
      <c r="N724" t="s">
        <v>2434</v>
      </c>
      <c r="O724" s="1442">
        <v>46282</v>
      </c>
      <c r="P724" s="1442">
        <v>46277.874618055554</v>
      </c>
    </row>
    <row r="725" spans="1:16">
      <c r="A725" t="s">
        <v>5504</v>
      </c>
      <c r="B725" t="s">
        <v>64</v>
      </c>
      <c r="C725" t="s">
        <v>100</v>
      </c>
      <c r="D725" t="s">
        <v>4526</v>
      </c>
      <c r="E725" t="s">
        <v>5085</v>
      </c>
      <c r="F725" t="s">
        <v>330</v>
      </c>
      <c r="G725">
        <v>2880</v>
      </c>
      <c r="H725" t="s">
        <v>75</v>
      </c>
      <c r="I725" t="s">
        <v>5506</v>
      </c>
      <c r="J725" s="1442">
        <v>46223</v>
      </c>
      <c r="K725" s="1442">
        <v>46260</v>
      </c>
      <c r="L725" s="1442">
        <v>46270.833333333336</v>
      </c>
      <c r="M725" s="1442">
        <v>46270.874618055554</v>
      </c>
      <c r="N725" t="s">
        <v>2434</v>
      </c>
      <c r="O725" s="1442">
        <v>46282</v>
      </c>
      <c r="P725" s="1442">
        <v>46277.874618055554</v>
      </c>
    </row>
    <row r="726" spans="1:16">
      <c r="A726" t="s">
        <v>5439</v>
      </c>
      <c r="B726" t="s">
        <v>64</v>
      </c>
      <c r="C726" t="s">
        <v>65</v>
      </c>
      <c r="D726" t="s">
        <v>5374</v>
      </c>
      <c r="E726" t="s">
        <v>5395</v>
      </c>
      <c r="F726" t="s">
        <v>5396</v>
      </c>
      <c r="G726">
        <v>936</v>
      </c>
      <c r="H726" t="s">
        <v>75</v>
      </c>
      <c r="I726" t="s">
        <v>5440</v>
      </c>
      <c r="J726" s="1442">
        <v>46222</v>
      </c>
      <c r="K726" s="1442">
        <v>46272</v>
      </c>
      <c r="L726" s="1442">
        <v>46278.083333333336</v>
      </c>
      <c r="M726" s="1442">
        <v>46278.186840277776</v>
      </c>
      <c r="N726" t="s">
        <v>2434</v>
      </c>
      <c r="O726" s="1442">
        <v>46290</v>
      </c>
      <c r="P726" s="1442">
        <v>46286.186840277776</v>
      </c>
    </row>
    <row r="727" spans="1:16">
      <c r="A727" t="s">
        <v>5433</v>
      </c>
      <c r="B727" t="s">
        <v>64</v>
      </c>
      <c r="C727" t="s">
        <v>65</v>
      </c>
      <c r="D727" t="s">
        <v>5374</v>
      </c>
      <c r="E727" t="s">
        <v>5395</v>
      </c>
      <c r="F727" t="s">
        <v>5396</v>
      </c>
      <c r="G727">
        <v>4680</v>
      </c>
      <c r="H727" t="s">
        <v>75</v>
      </c>
      <c r="I727" t="s">
        <v>5435</v>
      </c>
      <c r="J727" s="1442">
        <v>46222</v>
      </c>
      <c r="K727" s="1442">
        <v>46272</v>
      </c>
      <c r="L727" s="1442">
        <v>46278.083333333336</v>
      </c>
      <c r="M727" s="1442">
        <v>46278.186840277776</v>
      </c>
      <c r="N727" t="s">
        <v>2434</v>
      </c>
      <c r="O727" s="1442">
        <v>46290</v>
      </c>
      <c r="P727" s="1442">
        <v>46286.186840277776</v>
      </c>
    </row>
    <row r="728" spans="1:16">
      <c r="A728" t="s">
        <v>5495</v>
      </c>
      <c r="B728" t="s">
        <v>64</v>
      </c>
      <c r="C728" t="s">
        <v>450</v>
      </c>
      <c r="D728" t="s">
        <v>5374</v>
      </c>
      <c r="E728" t="s">
        <v>5375</v>
      </c>
      <c r="F728" t="s">
        <v>5376</v>
      </c>
      <c r="G728">
        <v>1872</v>
      </c>
      <c r="H728" t="s">
        <v>75</v>
      </c>
      <c r="I728" t="s">
        <v>5496</v>
      </c>
      <c r="J728" s="1442">
        <v>46224</v>
      </c>
      <c r="K728" s="1442">
        <v>46264</v>
      </c>
      <c r="L728" s="1442">
        <v>46274.999305555553</v>
      </c>
      <c r="M728" s="1442">
        <v>46275.009525462963</v>
      </c>
      <c r="N728" t="s">
        <v>2434</v>
      </c>
      <c r="O728" s="1442">
        <v>46288</v>
      </c>
      <c r="P728" s="1442">
        <v>46282.009525462963</v>
      </c>
    </row>
    <row r="729" spans="1:16">
      <c r="A729" t="s">
        <v>5577</v>
      </c>
      <c r="B729" t="s">
        <v>64</v>
      </c>
      <c r="C729" t="s">
        <v>310</v>
      </c>
      <c r="D729" t="s">
        <v>284</v>
      </c>
      <c r="E729" t="s">
        <v>5578</v>
      </c>
      <c r="F729" t="s">
        <v>1570</v>
      </c>
      <c r="G729">
        <v>720</v>
      </c>
      <c r="H729" t="s">
        <v>951</v>
      </c>
      <c r="I729" t="s">
        <v>5579</v>
      </c>
      <c r="J729" s="1442">
        <v>46222.458333333336</v>
      </c>
      <c r="K729" s="1442">
        <v>46271</v>
      </c>
      <c r="L729" s="1442">
        <v>46298.75</v>
      </c>
      <c r="M729" s="1442"/>
      <c r="N729" t="s">
        <v>2434</v>
      </c>
      <c r="O729" s="1442">
        <v>46304</v>
      </c>
      <c r="P729" s="1442">
        <v>46308.75</v>
      </c>
    </row>
    <row r="730" spans="1:16">
      <c r="A730" t="s">
        <v>5490</v>
      </c>
      <c r="B730" t="s">
        <v>64</v>
      </c>
      <c r="C730" t="s">
        <v>310</v>
      </c>
      <c r="D730" t="s">
        <v>284</v>
      </c>
      <c r="E730" t="s">
        <v>5491</v>
      </c>
      <c r="F730" t="s">
        <v>5341</v>
      </c>
      <c r="G730">
        <v>720</v>
      </c>
      <c r="H730" t="s">
        <v>951</v>
      </c>
      <c r="I730" t="s">
        <v>5493</v>
      </c>
      <c r="J730" s="1442">
        <v>46218</v>
      </c>
      <c r="K730" s="1442">
        <v>46278</v>
      </c>
      <c r="L730" s="1442"/>
      <c r="M730" s="1442"/>
      <c r="N730" t="s">
        <v>2434</v>
      </c>
      <c r="O730" s="1442">
        <v>46290</v>
      </c>
      <c r="P730" s="1442">
        <v>46288</v>
      </c>
    </row>
    <row r="731" spans="1:16">
      <c r="A731" t="s">
        <v>4822</v>
      </c>
      <c r="B731" t="s">
        <v>64</v>
      </c>
      <c r="C731" t="s">
        <v>114</v>
      </c>
      <c r="D731" t="s">
        <v>4481</v>
      </c>
      <c r="E731" t="s">
        <v>4515</v>
      </c>
      <c r="F731" t="s">
        <v>4516</v>
      </c>
      <c r="G731">
        <v>2160</v>
      </c>
      <c r="H731" t="s">
        <v>75</v>
      </c>
      <c r="I731" t="s">
        <v>4825</v>
      </c>
      <c r="J731" s="1442">
        <v>46185</v>
      </c>
      <c r="K731" s="1442">
        <v>46240</v>
      </c>
      <c r="L731" s="1442"/>
      <c r="M731" s="1442">
        <v>46250.44736111111</v>
      </c>
      <c r="N731" t="s">
        <v>973</v>
      </c>
      <c r="O731" s="1442">
        <v>46265</v>
      </c>
      <c r="P731" s="1442">
        <v>46259.44736111111</v>
      </c>
    </row>
    <row r="732" spans="1:16">
      <c r="A732" t="s">
        <v>5012</v>
      </c>
      <c r="B732" t="s">
        <v>64</v>
      </c>
      <c r="C732" t="s">
        <v>114</v>
      </c>
      <c r="D732" t="s">
        <v>4526</v>
      </c>
      <c r="E732" t="s">
        <v>1151</v>
      </c>
      <c r="F732" t="s">
        <v>421</v>
      </c>
      <c r="G732">
        <v>864</v>
      </c>
      <c r="H732" t="s">
        <v>75</v>
      </c>
      <c r="I732" t="s">
        <v>5014</v>
      </c>
      <c r="J732" s="1442">
        <v>46193</v>
      </c>
      <c r="K732" s="1442">
        <v>46249</v>
      </c>
      <c r="L732" s="1442">
        <v>46258.375</v>
      </c>
      <c r="M732" s="1442">
        <v>46258.289537037039</v>
      </c>
      <c r="N732" t="s">
        <v>973</v>
      </c>
      <c r="O732" s="1442">
        <v>46272</v>
      </c>
      <c r="P732" s="1442">
        <v>46267.289537037039</v>
      </c>
    </row>
    <row r="733" spans="1:16">
      <c r="A733" t="s">
        <v>5017</v>
      </c>
      <c r="B733" t="s">
        <v>64</v>
      </c>
      <c r="C733" t="s">
        <v>114</v>
      </c>
      <c r="D733" t="s">
        <v>4526</v>
      </c>
      <c r="E733" t="s">
        <v>1151</v>
      </c>
      <c r="F733" t="s">
        <v>421</v>
      </c>
      <c r="G733">
        <v>864</v>
      </c>
      <c r="H733" t="s">
        <v>75</v>
      </c>
      <c r="I733" t="s">
        <v>5018</v>
      </c>
      <c r="J733" s="1442">
        <v>46193</v>
      </c>
      <c r="K733" s="1442">
        <v>46255</v>
      </c>
      <c r="L733" s="1442">
        <v>46275.083333333336</v>
      </c>
      <c r="M733" s="1442">
        <v>46275.045995370368</v>
      </c>
      <c r="N733" t="s">
        <v>2434</v>
      </c>
      <c r="O733" s="1442">
        <v>46283</v>
      </c>
      <c r="P733" s="1442">
        <v>46284.045995370368</v>
      </c>
    </row>
    <row r="734" spans="1:16">
      <c r="A734" t="s">
        <v>5386</v>
      </c>
      <c r="B734" t="s">
        <v>144</v>
      </c>
      <c r="C734" t="s">
        <v>145</v>
      </c>
      <c r="D734" t="s">
        <v>4526</v>
      </c>
      <c r="E734" t="s">
        <v>4587</v>
      </c>
      <c r="F734" t="s">
        <v>330</v>
      </c>
      <c r="G734">
        <v>3600</v>
      </c>
      <c r="H734" t="s">
        <v>75</v>
      </c>
      <c r="I734" t="s">
        <v>5390</v>
      </c>
      <c r="J734" s="1442">
        <v>46228</v>
      </c>
      <c r="K734" s="1442">
        <v>46256</v>
      </c>
      <c r="L734" s="1442">
        <v>46266</v>
      </c>
      <c r="M734" s="1442">
        <v>46265.971226851849</v>
      </c>
      <c r="N734" t="s">
        <v>973</v>
      </c>
      <c r="O734" s="1442">
        <v>46262</v>
      </c>
      <c r="P734" s="1442">
        <v>46265.971226851849</v>
      </c>
    </row>
    <row r="735" spans="1:16">
      <c r="A735" t="s">
        <v>5543</v>
      </c>
      <c r="B735" t="s">
        <v>144</v>
      </c>
      <c r="C735" t="s">
        <v>145</v>
      </c>
      <c r="D735" t="s">
        <v>5331</v>
      </c>
      <c r="E735" t="s">
        <v>5332</v>
      </c>
      <c r="F735" t="s">
        <v>5333</v>
      </c>
      <c r="G735">
        <v>720</v>
      </c>
      <c r="H735" t="s">
        <v>951</v>
      </c>
      <c r="I735" t="s">
        <v>5545</v>
      </c>
      <c r="J735" s="1442">
        <v>46229</v>
      </c>
      <c r="K735" s="1442">
        <v>46268</v>
      </c>
      <c r="L735" s="1442">
        <v>46280.541666666664</v>
      </c>
      <c r="M735" s="1442" t="s">
        <v>2521</v>
      </c>
      <c r="N735" t="s">
        <v>973</v>
      </c>
      <c r="O735" s="1442">
        <v>46268</v>
      </c>
      <c r="P735" s="1442">
        <v>46280.541666666664</v>
      </c>
    </row>
    <row r="736" spans="1:16">
      <c r="A736" t="s">
        <v>5549</v>
      </c>
      <c r="B736" t="s">
        <v>144</v>
      </c>
      <c r="C736" t="s">
        <v>145</v>
      </c>
      <c r="D736" t="s">
        <v>5331</v>
      </c>
      <c r="E736" t="s">
        <v>5550</v>
      </c>
      <c r="F736" t="s">
        <v>5551</v>
      </c>
      <c r="G736">
        <v>720</v>
      </c>
      <c r="H736" t="s">
        <v>951</v>
      </c>
      <c r="I736" t="s">
        <v>5552</v>
      </c>
      <c r="J736" s="1442">
        <v>46229</v>
      </c>
      <c r="K736" s="1442">
        <v>46268</v>
      </c>
      <c r="L736" s="1442">
        <v>46280.541666666664</v>
      </c>
      <c r="M736" s="1442" t="s">
        <v>2521</v>
      </c>
      <c r="N736" t="s">
        <v>973</v>
      </c>
      <c r="O736" s="1442">
        <v>46268</v>
      </c>
      <c r="P736" s="1442">
        <v>46280.541666666664</v>
      </c>
    </row>
    <row r="737" spans="1:16">
      <c r="A737" t="s">
        <v>5393</v>
      </c>
      <c r="B737" t="s">
        <v>144</v>
      </c>
      <c r="C737" t="s">
        <v>145</v>
      </c>
      <c r="D737" t="s">
        <v>5374</v>
      </c>
      <c r="E737" t="s">
        <v>5395</v>
      </c>
      <c r="F737" t="s">
        <v>5396</v>
      </c>
      <c r="G737">
        <v>3744</v>
      </c>
      <c r="H737" t="s">
        <v>75</v>
      </c>
      <c r="I737" t="s">
        <v>5398</v>
      </c>
      <c r="J737" s="1442">
        <v>46228</v>
      </c>
      <c r="K737" s="1442">
        <v>46256</v>
      </c>
      <c r="L737" s="1442">
        <v>46266</v>
      </c>
      <c r="M737" s="1442">
        <v>46265.971226851849</v>
      </c>
      <c r="N737" t="s">
        <v>973</v>
      </c>
      <c r="O737" s="1442">
        <v>46262</v>
      </c>
      <c r="P737" s="1442">
        <v>46265.971226851849</v>
      </c>
    </row>
    <row r="738" spans="1:16">
      <c r="A738" t="s">
        <v>4955</v>
      </c>
      <c r="B738" t="s">
        <v>64</v>
      </c>
      <c r="C738" t="s">
        <v>65</v>
      </c>
      <c r="D738" t="s">
        <v>4526</v>
      </c>
      <c r="E738" t="s">
        <v>71</v>
      </c>
      <c r="F738" t="s">
        <v>72</v>
      </c>
      <c r="G738">
        <v>3456</v>
      </c>
      <c r="H738" t="s">
        <v>75</v>
      </c>
      <c r="I738" t="s">
        <v>4957</v>
      </c>
      <c r="J738" s="1442">
        <v>46189</v>
      </c>
      <c r="K738" s="1442">
        <v>46231</v>
      </c>
      <c r="L738" s="1442">
        <v>46234</v>
      </c>
      <c r="M738" s="1442">
        <v>46235.175381944442</v>
      </c>
      <c r="N738" t="s">
        <v>973</v>
      </c>
      <c r="O738" s="1442">
        <v>46246</v>
      </c>
      <c r="P738" s="1442">
        <v>46243.175381944442</v>
      </c>
    </row>
    <row r="739" spans="1:16">
      <c r="A739" t="s">
        <v>4958</v>
      </c>
      <c r="B739" t="s">
        <v>144</v>
      </c>
      <c r="C739" t="s">
        <v>145</v>
      </c>
      <c r="D739" t="s">
        <v>4526</v>
      </c>
      <c r="E739" t="s">
        <v>71</v>
      </c>
      <c r="F739" t="s">
        <v>72</v>
      </c>
      <c r="G739">
        <v>864</v>
      </c>
      <c r="H739" t="s">
        <v>75</v>
      </c>
      <c r="I739" t="s">
        <v>4963</v>
      </c>
      <c r="J739" s="1442">
        <v>46189</v>
      </c>
      <c r="K739" s="1442">
        <v>46231</v>
      </c>
      <c r="L739" s="1442">
        <v>46234</v>
      </c>
      <c r="M739" s="1442">
        <v>46235.175381944442</v>
      </c>
      <c r="N739" t="s">
        <v>973</v>
      </c>
      <c r="O739" s="1442">
        <v>46246</v>
      </c>
      <c r="P739" s="1442">
        <v>46235.175381944442</v>
      </c>
    </row>
    <row r="740" spans="1:16">
      <c r="A740" t="s">
        <v>4839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4840</v>
      </c>
      <c r="J740" s="1442">
        <v>46182</v>
      </c>
      <c r="K740" s="1442">
        <v>46218</v>
      </c>
      <c r="L740" s="1442">
        <v>46220</v>
      </c>
      <c r="M740" s="1442">
        <v>46221</v>
      </c>
      <c r="N740" t="s">
        <v>973</v>
      </c>
      <c r="O740" s="1442">
        <v>46238</v>
      </c>
      <c r="P740" s="1442">
        <v>46230</v>
      </c>
    </row>
    <row r="741" spans="1:16">
      <c r="A741" t="s">
        <v>5649</v>
      </c>
      <c r="B741" t="s">
        <v>64</v>
      </c>
      <c r="C741" t="s">
        <v>450</v>
      </c>
      <c r="D741" t="s">
        <v>4526</v>
      </c>
      <c r="E741" t="s">
        <v>195</v>
      </c>
      <c r="F741" t="s">
        <v>196</v>
      </c>
      <c r="G741">
        <v>936</v>
      </c>
      <c r="H741" t="s">
        <v>951</v>
      </c>
      <c r="I741" t="s">
        <v>5651</v>
      </c>
      <c r="J741" s="1442">
        <v>46229</v>
      </c>
      <c r="K741" s="1442">
        <v>46278</v>
      </c>
      <c r="L741" s="1442">
        <v>46290.458333333336</v>
      </c>
      <c r="M741" s="1442" t="s">
        <v>2521</v>
      </c>
      <c r="N741" t="s">
        <v>2434</v>
      </c>
      <c r="O741" s="1442">
        <v>46668</v>
      </c>
      <c r="P741" s="1442">
        <v>46297.458333333336</v>
      </c>
    </row>
    <row r="742" spans="1:16">
      <c r="A742" t="s">
        <v>5534</v>
      </c>
      <c r="B742" t="s">
        <v>64</v>
      </c>
      <c r="C742" t="s">
        <v>65</v>
      </c>
      <c r="D742" t="s">
        <v>4526</v>
      </c>
      <c r="E742" t="s">
        <v>691</v>
      </c>
      <c r="F742" t="s">
        <v>692</v>
      </c>
      <c r="G742">
        <v>2592</v>
      </c>
      <c r="H742" t="s">
        <v>951</v>
      </c>
      <c r="I742" t="s">
        <v>5536</v>
      </c>
      <c r="J742" s="1442">
        <v>46230</v>
      </c>
      <c r="K742" s="1442">
        <v>46279</v>
      </c>
      <c r="L742" s="1442">
        <v>46285.041666666664</v>
      </c>
      <c r="M742" s="1442" t="s">
        <v>2521</v>
      </c>
      <c r="N742" t="s">
        <v>2434</v>
      </c>
      <c r="O742" s="1442">
        <v>46297</v>
      </c>
      <c r="P742" s="1442">
        <v>46293.041666666664</v>
      </c>
    </row>
    <row r="743" spans="1:16">
      <c r="A743" t="s">
        <v>5517</v>
      </c>
      <c r="B743" t="s">
        <v>64</v>
      </c>
      <c r="C743" t="s">
        <v>65</v>
      </c>
      <c r="D743" t="s">
        <v>4526</v>
      </c>
      <c r="E743" t="s">
        <v>1151</v>
      </c>
      <c r="F743" t="s">
        <v>421</v>
      </c>
      <c r="G743">
        <v>4320</v>
      </c>
      <c r="H743" t="s">
        <v>951</v>
      </c>
      <c r="I743" t="s">
        <v>5519</v>
      </c>
      <c r="J743" s="1442">
        <v>46230</v>
      </c>
      <c r="K743" s="1442">
        <v>46279</v>
      </c>
      <c r="L743" s="1442">
        <v>46285.041666666664</v>
      </c>
      <c r="M743" s="1442" t="s">
        <v>2521</v>
      </c>
      <c r="N743" t="s">
        <v>2434</v>
      </c>
      <c r="O743" s="1442">
        <v>46297</v>
      </c>
      <c r="P743" s="1442">
        <v>46293.041666666664</v>
      </c>
    </row>
    <row r="744" spans="1:16">
      <c r="A744" t="s">
        <v>5617</v>
      </c>
      <c r="B744" t="s">
        <v>64</v>
      </c>
      <c r="C744" t="s">
        <v>100</v>
      </c>
      <c r="D744" t="s">
        <v>4526</v>
      </c>
      <c r="E744" t="s">
        <v>1151</v>
      </c>
      <c r="F744" t="s">
        <v>421</v>
      </c>
      <c r="G744">
        <v>1728</v>
      </c>
      <c r="H744" t="s">
        <v>75</v>
      </c>
      <c r="I744" t="s">
        <v>5618</v>
      </c>
      <c r="J744" s="1442">
        <v>46225</v>
      </c>
      <c r="K744" s="1442">
        <v>46260</v>
      </c>
      <c r="L744" s="1442">
        <v>46275.083333333336</v>
      </c>
      <c r="M744" s="1442">
        <v>46275.088877314818</v>
      </c>
      <c r="N744" t="s">
        <v>2434</v>
      </c>
      <c r="O744" s="1442">
        <v>46286</v>
      </c>
      <c r="P744" s="1442">
        <v>46282.088877314818</v>
      </c>
    </row>
    <row r="745" spans="1:16">
      <c r="A745" t="s">
        <v>5608</v>
      </c>
      <c r="B745" t="s">
        <v>64</v>
      </c>
      <c r="C745" t="s">
        <v>450</v>
      </c>
      <c r="D745" t="s">
        <v>4526</v>
      </c>
      <c r="E745" t="s">
        <v>1151</v>
      </c>
      <c r="F745" t="s">
        <v>421</v>
      </c>
      <c r="G745">
        <v>1728</v>
      </c>
      <c r="H745" t="s">
        <v>75</v>
      </c>
      <c r="I745" t="s">
        <v>5610</v>
      </c>
      <c r="J745" s="1442">
        <v>46225</v>
      </c>
      <c r="K745" s="1442">
        <v>46260</v>
      </c>
      <c r="L745" s="1442">
        <v>46274.999305555553</v>
      </c>
      <c r="M745" s="1442">
        <v>46275.009525462963</v>
      </c>
      <c r="N745" t="s">
        <v>2434</v>
      </c>
      <c r="O745" s="1442">
        <v>46288</v>
      </c>
      <c r="P745" s="1442">
        <v>46282.009525462963</v>
      </c>
    </row>
    <row r="746" spans="1:16">
      <c r="A746" t="s">
        <v>5589</v>
      </c>
      <c r="B746" t="s">
        <v>64</v>
      </c>
      <c r="C746" t="s">
        <v>100</v>
      </c>
      <c r="D746" t="s">
        <v>4526</v>
      </c>
      <c r="E746" t="s">
        <v>1151</v>
      </c>
      <c r="F746" t="s">
        <v>421</v>
      </c>
      <c r="G746">
        <v>3456</v>
      </c>
      <c r="H746" t="s">
        <v>75</v>
      </c>
      <c r="I746" t="s">
        <v>5590</v>
      </c>
      <c r="J746" s="1442">
        <v>46232</v>
      </c>
      <c r="K746" s="1442">
        <v>46277</v>
      </c>
      <c r="L746" s="1442">
        <v>46266</v>
      </c>
      <c r="M746" s="1442">
        <v>46265</v>
      </c>
      <c r="N746" t="s">
        <v>2434</v>
      </c>
      <c r="O746" s="1442">
        <v>46279</v>
      </c>
      <c r="P746" s="1442">
        <v>46272</v>
      </c>
    </row>
    <row r="747" spans="1:16">
      <c r="A747" t="s">
        <v>5587</v>
      </c>
      <c r="B747" t="s">
        <v>64</v>
      </c>
      <c r="C747" t="s">
        <v>100</v>
      </c>
      <c r="D747" t="s">
        <v>4526</v>
      </c>
      <c r="E747" t="s">
        <v>1151</v>
      </c>
      <c r="F747" t="s">
        <v>421</v>
      </c>
      <c r="G747">
        <v>1728</v>
      </c>
      <c r="H747" t="s">
        <v>75</v>
      </c>
      <c r="I747" t="s">
        <v>5588</v>
      </c>
      <c r="J747" s="1442">
        <v>46232</v>
      </c>
      <c r="K747" s="1442">
        <v>46277</v>
      </c>
      <c r="L747" s="1442">
        <v>46266</v>
      </c>
      <c r="M747" s="1442">
        <v>46265</v>
      </c>
      <c r="N747" t="s">
        <v>2434</v>
      </c>
      <c r="O747" s="1442">
        <v>46279</v>
      </c>
      <c r="P747" s="1442">
        <v>46272</v>
      </c>
    </row>
    <row r="748" spans="1:16">
      <c r="A748" t="s">
        <v>5582</v>
      </c>
      <c r="B748" t="s">
        <v>64</v>
      </c>
      <c r="C748" t="s">
        <v>100</v>
      </c>
      <c r="D748" t="s">
        <v>4526</v>
      </c>
      <c r="E748" t="s">
        <v>1151</v>
      </c>
      <c r="F748" t="s">
        <v>421</v>
      </c>
      <c r="G748">
        <v>1728</v>
      </c>
      <c r="H748" t="s">
        <v>75</v>
      </c>
      <c r="I748" t="s">
        <v>5583</v>
      </c>
      <c r="J748" s="1442">
        <v>46232</v>
      </c>
      <c r="K748" s="1442">
        <v>46277</v>
      </c>
      <c r="L748" s="1442">
        <v>46266</v>
      </c>
      <c r="M748" s="1442">
        <v>46265</v>
      </c>
      <c r="N748" t="s">
        <v>2434</v>
      </c>
      <c r="O748" s="1442">
        <v>46279</v>
      </c>
      <c r="P748" s="1442">
        <v>46272</v>
      </c>
    </row>
    <row r="749" spans="1:16">
      <c r="A749" t="s">
        <v>5525</v>
      </c>
      <c r="B749" t="s">
        <v>64</v>
      </c>
      <c r="C749" t="s">
        <v>65</v>
      </c>
      <c r="D749" t="s">
        <v>4526</v>
      </c>
      <c r="E749" t="s">
        <v>1151</v>
      </c>
      <c r="F749" t="s">
        <v>421</v>
      </c>
      <c r="G749">
        <v>1728</v>
      </c>
      <c r="H749" t="s">
        <v>951</v>
      </c>
      <c r="I749" t="s">
        <v>5526</v>
      </c>
      <c r="J749" s="1442">
        <v>46230</v>
      </c>
      <c r="K749" s="1442">
        <v>46279</v>
      </c>
      <c r="L749" s="1442">
        <v>46285.041666666664</v>
      </c>
      <c r="M749" s="1442" t="s">
        <v>2521</v>
      </c>
      <c r="N749" t="s">
        <v>2434</v>
      </c>
      <c r="O749" s="1442">
        <v>46297</v>
      </c>
      <c r="P749" s="1442">
        <v>46293.041666666664</v>
      </c>
    </row>
    <row r="750" spans="1:16">
      <c r="A750" t="s">
        <v>5500</v>
      </c>
      <c r="B750" t="s">
        <v>64</v>
      </c>
      <c r="C750" t="s">
        <v>450</v>
      </c>
      <c r="D750" t="s">
        <v>4526</v>
      </c>
      <c r="E750" t="s">
        <v>1151</v>
      </c>
      <c r="F750" t="s">
        <v>421</v>
      </c>
      <c r="G750">
        <v>2592</v>
      </c>
      <c r="H750" t="s">
        <v>75</v>
      </c>
      <c r="I750" t="s">
        <v>5501</v>
      </c>
      <c r="J750" s="1442">
        <v>46224</v>
      </c>
      <c r="K750" s="1442">
        <v>46264</v>
      </c>
      <c r="L750" s="1442">
        <v>46274.999305555553</v>
      </c>
      <c r="M750" s="1442">
        <v>46275.009525462963</v>
      </c>
      <c r="N750" t="s">
        <v>2434</v>
      </c>
      <c r="O750" s="1442">
        <v>46288</v>
      </c>
      <c r="P750" s="1442">
        <v>46282.009525462963</v>
      </c>
    </row>
    <row r="751" spans="1:16">
      <c r="A751" t="s">
        <v>5622</v>
      </c>
      <c r="B751" t="s">
        <v>64</v>
      </c>
      <c r="C751" t="s">
        <v>100</v>
      </c>
      <c r="D751" t="s">
        <v>4526</v>
      </c>
      <c r="E751" t="s">
        <v>71</v>
      </c>
      <c r="F751" t="s">
        <v>72</v>
      </c>
      <c r="G751">
        <v>864</v>
      </c>
      <c r="H751" t="s">
        <v>75</v>
      </c>
      <c r="I751" t="s">
        <v>5623</v>
      </c>
      <c r="J751" s="1442">
        <v>46225</v>
      </c>
      <c r="K751" s="1442">
        <v>46260</v>
      </c>
      <c r="L751" s="1442">
        <v>46275.083333333336</v>
      </c>
      <c r="M751" s="1442">
        <v>46275.088877314818</v>
      </c>
      <c r="N751" t="s">
        <v>2434</v>
      </c>
      <c r="O751" s="1442">
        <v>46286</v>
      </c>
      <c r="P751" s="1442">
        <v>46282.088877314818</v>
      </c>
    </row>
    <row r="752" spans="1:16">
      <c r="A752" t="s">
        <v>5613</v>
      </c>
      <c r="B752" t="s">
        <v>64</v>
      </c>
      <c r="C752" t="s">
        <v>100</v>
      </c>
      <c r="D752" t="s">
        <v>4526</v>
      </c>
      <c r="E752" t="s">
        <v>71</v>
      </c>
      <c r="F752" t="s">
        <v>72</v>
      </c>
      <c r="G752">
        <v>4320</v>
      </c>
      <c r="H752" t="s">
        <v>75</v>
      </c>
      <c r="I752" t="s">
        <v>5614</v>
      </c>
      <c r="J752" s="1442">
        <v>46231</v>
      </c>
      <c r="K752" s="1442">
        <v>46266</v>
      </c>
      <c r="L752" s="1442">
        <v>46270.645833333336</v>
      </c>
      <c r="M752" s="1442">
        <v>46270.66238425926</v>
      </c>
      <c r="N752" t="s">
        <v>2434</v>
      </c>
      <c r="O752" s="1442">
        <v>46283</v>
      </c>
      <c r="P752" s="1442">
        <v>46277.66238425926</v>
      </c>
    </row>
    <row r="753" spans="1:16">
      <c r="A753" t="s">
        <v>5658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951</v>
      </c>
      <c r="I753" t="s">
        <v>5659</v>
      </c>
      <c r="J753" s="1442">
        <v>46229</v>
      </c>
      <c r="K753" s="1442">
        <v>46271</v>
      </c>
      <c r="L753" s="1442">
        <v>46279.958333333336</v>
      </c>
      <c r="M753" s="1442" t="s">
        <v>2521</v>
      </c>
      <c r="N753" t="s">
        <v>2434</v>
      </c>
      <c r="O753" s="1442">
        <v>46293</v>
      </c>
      <c r="P753" s="1442">
        <v>46286.958333333336</v>
      </c>
    </row>
    <row r="754" spans="1:16">
      <c r="A754" t="s">
        <v>5639</v>
      </c>
      <c r="B754" t="s">
        <v>64</v>
      </c>
      <c r="C754" t="s">
        <v>65</v>
      </c>
      <c r="D754" t="s">
        <v>4526</v>
      </c>
      <c r="E754" t="s">
        <v>71</v>
      </c>
      <c r="F754" t="s">
        <v>72</v>
      </c>
      <c r="G754">
        <v>864</v>
      </c>
      <c r="H754" t="s">
        <v>951</v>
      </c>
      <c r="I754" t="s">
        <v>5640</v>
      </c>
      <c r="J754" s="1442">
        <v>46227</v>
      </c>
      <c r="K754" s="1442">
        <v>46272</v>
      </c>
      <c r="L754" s="1442">
        <v>46297.75</v>
      </c>
      <c r="M754" s="1442" t="s">
        <v>2521</v>
      </c>
      <c r="N754" t="s">
        <v>2434</v>
      </c>
      <c r="O754" s="1442">
        <v>46293</v>
      </c>
      <c r="P754" s="1442">
        <v>46305.75</v>
      </c>
    </row>
    <row r="755" spans="1:16">
      <c r="A755" t="s">
        <v>5523</v>
      </c>
      <c r="B755" t="s">
        <v>64</v>
      </c>
      <c r="C755" t="s">
        <v>65</v>
      </c>
      <c r="D755" t="s">
        <v>4526</v>
      </c>
      <c r="E755" t="s">
        <v>71</v>
      </c>
      <c r="F755" t="s">
        <v>72</v>
      </c>
      <c r="G755">
        <v>1728</v>
      </c>
      <c r="H755" t="s">
        <v>951</v>
      </c>
      <c r="I755" t="s">
        <v>5524</v>
      </c>
      <c r="J755" s="1442">
        <v>46230</v>
      </c>
      <c r="K755" s="1442">
        <v>46279</v>
      </c>
      <c r="L755" s="1442">
        <v>46285.041666666664</v>
      </c>
      <c r="M755" s="1442" t="s">
        <v>2521</v>
      </c>
      <c r="N755" t="s">
        <v>2434</v>
      </c>
      <c r="O755" s="1442">
        <v>46297</v>
      </c>
      <c r="P755" s="1442">
        <v>46293.041666666664</v>
      </c>
    </row>
    <row r="756" spans="1:16">
      <c r="A756" t="s">
        <v>5380</v>
      </c>
      <c r="B756" t="s">
        <v>64</v>
      </c>
      <c r="C756" t="s">
        <v>100</v>
      </c>
      <c r="D756" t="s">
        <v>4526</v>
      </c>
      <c r="E756" t="s">
        <v>5085</v>
      </c>
      <c r="F756" t="s">
        <v>330</v>
      </c>
      <c r="G756">
        <v>7920</v>
      </c>
      <c r="H756" t="s">
        <v>75</v>
      </c>
      <c r="I756" t="s">
        <v>5382</v>
      </c>
      <c r="J756" s="1442">
        <v>46228</v>
      </c>
      <c r="K756" s="1442">
        <v>46256</v>
      </c>
      <c r="L756" s="1442">
        <v>46266</v>
      </c>
      <c r="M756" s="1442">
        <v>46265.971226851849</v>
      </c>
      <c r="N756" t="s">
        <v>2434</v>
      </c>
      <c r="O756" s="1442">
        <v>46279</v>
      </c>
      <c r="P756" s="1442">
        <v>46272.971226851849</v>
      </c>
    </row>
    <row r="757" spans="1:16">
      <c r="A757" t="s">
        <v>5527</v>
      </c>
      <c r="B757" t="s">
        <v>64</v>
      </c>
      <c r="C757" t="s">
        <v>65</v>
      </c>
      <c r="D757" t="s">
        <v>4526</v>
      </c>
      <c r="E757" t="s">
        <v>5097</v>
      </c>
      <c r="F757" t="s">
        <v>103</v>
      </c>
      <c r="G757">
        <v>720</v>
      </c>
      <c r="H757" t="s">
        <v>951</v>
      </c>
      <c r="I757" t="s">
        <v>5529</v>
      </c>
      <c r="J757" s="1442">
        <v>46230</v>
      </c>
      <c r="K757" s="1442">
        <v>46279</v>
      </c>
      <c r="L757" s="1442">
        <v>46285.041666666664</v>
      </c>
      <c r="M757" s="1442" t="s">
        <v>2521</v>
      </c>
      <c r="N757" t="s">
        <v>2434</v>
      </c>
      <c r="O757" s="1442">
        <v>46297</v>
      </c>
      <c r="P757" s="1442">
        <v>46293.041666666664</v>
      </c>
    </row>
    <row r="758" spans="1:16">
      <c r="A758" t="s">
        <v>5532</v>
      </c>
      <c r="B758" t="s">
        <v>64</v>
      </c>
      <c r="C758" t="s">
        <v>65</v>
      </c>
      <c r="D758" t="s">
        <v>4526</v>
      </c>
      <c r="E758" t="s">
        <v>1461</v>
      </c>
      <c r="F758" t="s">
        <v>103</v>
      </c>
      <c r="G758">
        <v>720</v>
      </c>
      <c r="H758" t="s">
        <v>951</v>
      </c>
      <c r="I758" t="s">
        <v>5533</v>
      </c>
      <c r="J758" s="1442">
        <v>46230</v>
      </c>
      <c r="K758" s="1442">
        <v>46279</v>
      </c>
      <c r="L758" s="1442">
        <v>46285.041666666664</v>
      </c>
      <c r="M758" s="1442" t="s">
        <v>2521</v>
      </c>
      <c r="N758" t="s">
        <v>2434</v>
      </c>
      <c r="O758" s="1442">
        <v>46297</v>
      </c>
      <c r="P758" s="1442">
        <v>46293.041666666664</v>
      </c>
    </row>
    <row r="759" spans="1:16">
      <c r="A759" t="s">
        <v>5603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5604</v>
      </c>
      <c r="J759" s="1442">
        <v>46231</v>
      </c>
      <c r="K759" s="1442">
        <v>46274</v>
      </c>
      <c r="L759" s="1442">
        <v>46272.833333333336</v>
      </c>
      <c r="M759" s="1442">
        <v>46272.833333333336</v>
      </c>
      <c r="N759" t="s">
        <v>2434</v>
      </c>
      <c r="O759" s="1442">
        <v>46282</v>
      </c>
      <c r="P759" s="1442">
        <v>46280.833333333336</v>
      </c>
    </row>
    <row r="760" spans="1:16">
      <c r="A760" t="s">
        <v>5654</v>
      </c>
      <c r="B760" t="s">
        <v>64</v>
      </c>
      <c r="C760" t="s">
        <v>100</v>
      </c>
      <c r="D760" t="s">
        <v>284</v>
      </c>
      <c r="E760" t="s">
        <v>5578</v>
      </c>
      <c r="F760" t="s">
        <v>1570</v>
      </c>
      <c r="G760">
        <v>5040</v>
      </c>
      <c r="H760" t="s">
        <v>951</v>
      </c>
      <c r="I760" t="s">
        <v>5655</v>
      </c>
      <c r="J760" s="1442">
        <v>46229</v>
      </c>
      <c r="K760" s="1442">
        <v>46271</v>
      </c>
      <c r="L760" s="1442">
        <v>46279.958333333336</v>
      </c>
      <c r="M760" s="1442" t="s">
        <v>2521</v>
      </c>
      <c r="N760" t="s">
        <v>2434</v>
      </c>
      <c r="O760" s="1442">
        <v>46293</v>
      </c>
      <c r="P760" s="1442">
        <v>46286.958333333336</v>
      </c>
    </row>
    <row r="761" spans="1:16">
      <c r="A761" t="s">
        <v>5553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951</v>
      </c>
      <c r="I761" t="s">
        <v>5555</v>
      </c>
      <c r="J761" s="1442">
        <v>46229</v>
      </c>
      <c r="K761" s="1442">
        <v>46268</v>
      </c>
      <c r="L761" s="1442">
        <v>46280.541666666664</v>
      </c>
      <c r="M761" s="1442" t="s">
        <v>2521</v>
      </c>
      <c r="N761" t="s">
        <v>2434</v>
      </c>
      <c r="O761" s="1442">
        <v>46294</v>
      </c>
      <c r="P761" s="1442">
        <v>46289.541666666664</v>
      </c>
    </row>
    <row r="762" spans="1:16">
      <c r="A762" t="s">
        <v>5558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951</v>
      </c>
      <c r="I762" t="s">
        <v>5559</v>
      </c>
      <c r="J762" s="1442">
        <v>46229</v>
      </c>
      <c r="K762" s="1442">
        <v>46268</v>
      </c>
      <c r="L762" s="1442">
        <v>46280.541666666664</v>
      </c>
      <c r="M762" s="1442" t="s">
        <v>2521</v>
      </c>
      <c r="N762" t="s">
        <v>2434</v>
      </c>
      <c r="O762" s="1442">
        <v>46294</v>
      </c>
      <c r="P762" s="1442">
        <v>46289.541666666664</v>
      </c>
    </row>
    <row r="763" spans="1:16">
      <c r="A763" t="s">
        <v>5599</v>
      </c>
      <c r="B763" t="s">
        <v>144</v>
      </c>
      <c r="C763" t="s">
        <v>145</v>
      </c>
      <c r="D763" t="s">
        <v>4526</v>
      </c>
      <c r="E763" t="s">
        <v>4587</v>
      </c>
      <c r="F763" t="s">
        <v>330</v>
      </c>
      <c r="G763">
        <v>3600</v>
      </c>
      <c r="H763" t="s">
        <v>75</v>
      </c>
      <c r="I763" t="s">
        <v>5600</v>
      </c>
      <c r="J763" s="1442">
        <v>46234</v>
      </c>
      <c r="K763" s="1442">
        <v>46277</v>
      </c>
      <c r="L763" s="1442">
        <v>46279.083333333336</v>
      </c>
      <c r="M763" s="1442">
        <v>46279.139525462961</v>
      </c>
      <c r="N763" t="s">
        <v>973</v>
      </c>
      <c r="O763" s="1442">
        <v>46276</v>
      </c>
      <c r="P763" s="1442">
        <v>46279.139525462961</v>
      </c>
    </row>
    <row r="764" spans="1:16">
      <c r="A764" t="s">
        <v>5624</v>
      </c>
      <c r="B764" t="s">
        <v>64</v>
      </c>
      <c r="C764" t="s">
        <v>65</v>
      </c>
      <c r="D764" t="s">
        <v>4526</v>
      </c>
      <c r="E764" t="s">
        <v>71</v>
      </c>
      <c r="F764" t="s">
        <v>72</v>
      </c>
      <c r="G764">
        <v>864</v>
      </c>
      <c r="H764" t="s">
        <v>75</v>
      </c>
      <c r="I764" t="s">
        <v>5626</v>
      </c>
      <c r="J764" s="1442">
        <v>46233</v>
      </c>
      <c r="K764" s="1442">
        <v>46274</v>
      </c>
      <c r="L764" s="1442">
        <v>46276.625</v>
      </c>
      <c r="M764" s="1442">
        <v>46276.681458333333</v>
      </c>
      <c r="N764" t="s">
        <v>2434</v>
      </c>
      <c r="O764" s="1442">
        <v>46288</v>
      </c>
      <c r="P764" s="1442">
        <v>46284.681458333333</v>
      </c>
    </row>
    <row r="765" spans="1:16">
      <c r="A765" t="s">
        <v>5696</v>
      </c>
      <c r="B765" t="s">
        <v>144</v>
      </c>
      <c r="C765" t="s">
        <v>145</v>
      </c>
      <c r="D765" t="s">
        <v>4526</v>
      </c>
      <c r="E765" t="s">
        <v>5036</v>
      </c>
      <c r="F765" t="s">
        <v>1807</v>
      </c>
      <c r="G765">
        <v>2970</v>
      </c>
      <c r="H765" t="s">
        <v>951</v>
      </c>
      <c r="I765" t="s">
        <v>5697</v>
      </c>
      <c r="J765" s="1442">
        <v>46235</v>
      </c>
      <c r="K765" s="1442">
        <v>46277</v>
      </c>
      <c r="L765" s="1442"/>
      <c r="M765" s="1442"/>
      <c r="N765" t="s">
        <v>973</v>
      </c>
      <c r="O765" s="1442">
        <v>46277</v>
      </c>
      <c r="P765" s="1442">
        <v>46277</v>
      </c>
    </row>
    <row r="766" spans="1:16">
      <c r="A766" t="s">
        <v>5689</v>
      </c>
      <c r="B766" t="s">
        <v>144</v>
      </c>
      <c r="C766" t="s">
        <v>145</v>
      </c>
      <c r="D766" t="s">
        <v>4526</v>
      </c>
      <c r="E766" t="s">
        <v>5052</v>
      </c>
      <c r="F766" t="s">
        <v>1484</v>
      </c>
      <c r="G766">
        <v>2376</v>
      </c>
      <c r="H766" t="s">
        <v>951</v>
      </c>
      <c r="I766" t="s">
        <v>5690</v>
      </c>
      <c r="J766" s="1442">
        <v>46235</v>
      </c>
      <c r="K766" s="1442">
        <v>46277</v>
      </c>
      <c r="L766" s="1442"/>
      <c r="M766" s="1442"/>
      <c r="N766" t="s">
        <v>973</v>
      </c>
      <c r="O766" s="1442">
        <v>46277</v>
      </c>
      <c r="P766" s="1442">
        <v>46277</v>
      </c>
    </row>
    <row r="767" spans="1:16">
      <c r="A767" t="s">
        <v>5694</v>
      </c>
      <c r="B767" t="s">
        <v>144</v>
      </c>
      <c r="C767" t="s">
        <v>145</v>
      </c>
      <c r="D767" t="s">
        <v>4526</v>
      </c>
      <c r="E767" t="s">
        <v>5052</v>
      </c>
      <c r="F767" t="s">
        <v>1484</v>
      </c>
      <c r="G767">
        <v>3564</v>
      </c>
      <c r="H767" t="s">
        <v>951</v>
      </c>
      <c r="I767" t="s">
        <v>5695</v>
      </c>
      <c r="J767" s="1442">
        <v>46235</v>
      </c>
      <c r="K767" s="1442">
        <v>46277</v>
      </c>
      <c r="L767" s="1442"/>
      <c r="M767" s="1442"/>
      <c r="N767" t="s">
        <v>973</v>
      </c>
      <c r="O767" s="1442">
        <v>46276</v>
      </c>
      <c r="P767" s="1442">
        <v>46277</v>
      </c>
    </row>
    <row r="768" spans="1:16">
      <c r="A768" t="s">
        <v>5807</v>
      </c>
      <c r="B768" t="s">
        <v>64</v>
      </c>
      <c r="C768" t="s">
        <v>100</v>
      </c>
      <c r="D768" t="s">
        <v>284</v>
      </c>
      <c r="E768" t="s">
        <v>5578</v>
      </c>
      <c r="F768" t="s">
        <v>1570</v>
      </c>
      <c r="G768">
        <v>3600</v>
      </c>
      <c r="H768" t="s">
        <v>951</v>
      </c>
      <c r="I768" t="s">
        <v>5808</v>
      </c>
      <c r="J768" s="1442">
        <v>46242</v>
      </c>
      <c r="K768" s="1442">
        <v>46284</v>
      </c>
      <c r="L768" s="1442">
        <v>46291</v>
      </c>
      <c r="M768" s="1442"/>
      <c r="N768" t="s">
        <v>2434</v>
      </c>
      <c r="O768" s="1442">
        <v>46293</v>
      </c>
      <c r="P768" s="1442">
        <v>46298</v>
      </c>
    </row>
    <row r="769" spans="1:16">
      <c r="A769" t="s">
        <v>5802</v>
      </c>
      <c r="B769" t="s">
        <v>64</v>
      </c>
      <c r="C769" t="s">
        <v>100</v>
      </c>
      <c r="D769" t="s">
        <v>4526</v>
      </c>
      <c r="E769" t="s">
        <v>195</v>
      </c>
      <c r="F769" t="s">
        <v>196</v>
      </c>
      <c r="G769">
        <v>5616</v>
      </c>
      <c r="H769" t="s">
        <v>951</v>
      </c>
      <c r="I769" t="s">
        <v>5803</v>
      </c>
      <c r="J769" s="1442">
        <v>46242</v>
      </c>
      <c r="K769" s="1442">
        <v>46284</v>
      </c>
      <c r="L769" s="1442">
        <v>46291</v>
      </c>
      <c r="M769" s="1442"/>
      <c r="N769" t="s">
        <v>2434</v>
      </c>
      <c r="O769" s="1442">
        <v>46293</v>
      </c>
      <c r="P769" s="1442">
        <v>46298</v>
      </c>
    </row>
    <row r="770" spans="1:16">
      <c r="A770" t="s">
        <v>5702</v>
      </c>
      <c r="B770" t="s">
        <v>144</v>
      </c>
      <c r="C770" t="s">
        <v>145</v>
      </c>
      <c r="D770" t="s">
        <v>5374</v>
      </c>
      <c r="E770" t="s">
        <v>5395</v>
      </c>
      <c r="F770" t="s">
        <v>5396</v>
      </c>
      <c r="G770">
        <v>3744</v>
      </c>
      <c r="H770" t="s">
        <v>75</v>
      </c>
      <c r="I770" t="s">
        <v>5703</v>
      </c>
      <c r="J770" s="1442">
        <v>46239</v>
      </c>
      <c r="K770" s="1442">
        <v>46274</v>
      </c>
      <c r="L770" s="1442">
        <v>46279.958333333336</v>
      </c>
      <c r="M770" s="1442">
        <v>46279.935393518521</v>
      </c>
      <c r="N770" t="s">
        <v>973</v>
      </c>
      <c r="O770" s="1442">
        <v>46274</v>
      </c>
      <c r="P770" s="1442">
        <v>46279.935393518521</v>
      </c>
    </row>
    <row r="771" spans="1:16">
      <c r="A771" t="s">
        <v>5786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5788</v>
      </c>
      <c r="J771" s="1442">
        <v>46239</v>
      </c>
      <c r="K771" s="1442">
        <v>46294</v>
      </c>
      <c r="L771" s="1442"/>
      <c r="M771" s="1442"/>
      <c r="N771" t="s">
        <v>973</v>
      </c>
      <c r="O771" s="1442">
        <v>46294</v>
      </c>
      <c r="P771" s="1442">
        <v>46294</v>
      </c>
    </row>
    <row r="772" spans="1:16">
      <c r="A772" t="s">
        <v>5777</v>
      </c>
      <c r="B772" t="s">
        <v>144</v>
      </c>
      <c r="C772" t="s">
        <v>145</v>
      </c>
      <c r="D772" t="s">
        <v>4526</v>
      </c>
      <c r="E772" t="s">
        <v>965</v>
      </c>
      <c r="F772" t="s">
        <v>966</v>
      </c>
      <c r="G772">
        <v>1872</v>
      </c>
      <c r="H772" t="s">
        <v>951</v>
      </c>
      <c r="I772" t="s">
        <v>5781</v>
      </c>
      <c r="J772" s="1442">
        <v>46240</v>
      </c>
      <c r="K772" s="1442">
        <v>46307</v>
      </c>
      <c r="L772" s="1442">
        <v>46332</v>
      </c>
      <c r="M772" s="1442"/>
      <c r="N772" t="s">
        <v>973</v>
      </c>
      <c r="O772" s="1442">
        <v>46307</v>
      </c>
      <c r="P772" s="1442">
        <v>46332</v>
      </c>
    </row>
    <row r="773" spans="1:16">
      <c r="A773" t="s">
        <v>5685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5686</v>
      </c>
      <c r="J773" s="1442">
        <v>46235</v>
      </c>
      <c r="K773" s="1442">
        <v>46277</v>
      </c>
      <c r="L773" s="1442"/>
      <c r="M773" s="1442"/>
      <c r="N773" t="s">
        <v>2434</v>
      </c>
      <c r="O773" s="1442">
        <v>46283</v>
      </c>
      <c r="P773" s="1442">
        <v>46284</v>
      </c>
    </row>
    <row r="774" spans="1:16">
      <c r="A774" t="s">
        <v>5512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5513</v>
      </c>
      <c r="J774" s="1442">
        <v>46230</v>
      </c>
      <c r="K774" s="1442">
        <v>46274</v>
      </c>
      <c r="L774" s="1442">
        <v>46288.291666666664</v>
      </c>
      <c r="M774" s="1442" t="s">
        <v>2521</v>
      </c>
      <c r="N774" t="s">
        <v>2434</v>
      </c>
      <c r="O774" s="1442">
        <v>46293</v>
      </c>
      <c r="P774" s="1442">
        <v>46298.291666666664</v>
      </c>
    </row>
    <row r="775" spans="1:16">
      <c r="A775" t="s">
        <v>5673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5674</v>
      </c>
      <c r="J775" s="1442">
        <v>46235</v>
      </c>
      <c r="K775" s="1442">
        <v>46277</v>
      </c>
      <c r="L775" s="1442"/>
      <c r="M775" s="1442"/>
      <c r="N775" t="s">
        <v>2434</v>
      </c>
      <c r="O775" s="1442">
        <v>46290</v>
      </c>
      <c r="P775" s="1442">
        <v>46284</v>
      </c>
    </row>
    <row r="776" spans="1:16">
      <c r="A776" t="s">
        <v>5671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5672</v>
      </c>
      <c r="J776" s="1442">
        <v>46239</v>
      </c>
      <c r="K776" s="1442">
        <v>46278</v>
      </c>
      <c r="L776" s="1442">
        <v>46286.375</v>
      </c>
      <c r="M776" s="1442" t="s">
        <v>2521</v>
      </c>
      <c r="N776" t="s">
        <v>2434</v>
      </c>
      <c r="O776" s="1442">
        <v>46288</v>
      </c>
      <c r="P776" s="1442">
        <v>46293.375</v>
      </c>
    </row>
    <row r="777" spans="1:16">
      <c r="A777" t="s">
        <v>5687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5688</v>
      </c>
      <c r="J777" s="1442">
        <v>46235</v>
      </c>
      <c r="K777" s="1442">
        <v>46277</v>
      </c>
      <c r="L777" s="1442"/>
      <c r="M777" s="1442"/>
      <c r="N777" t="s">
        <v>2434</v>
      </c>
      <c r="O777" s="1442">
        <v>46290</v>
      </c>
      <c r="P777" s="1442">
        <v>46284</v>
      </c>
    </row>
    <row r="778" spans="1:16">
      <c r="A778" t="s">
        <v>5716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5717</v>
      </c>
      <c r="J778" s="1442">
        <v>46237</v>
      </c>
      <c r="K778" s="1442">
        <v>46274</v>
      </c>
      <c r="L778" s="1442">
        <v>46283.041666666664</v>
      </c>
      <c r="M778" s="1442" t="s">
        <v>2521</v>
      </c>
      <c r="N778" t="s">
        <v>2434</v>
      </c>
      <c r="O778" s="1442">
        <v>46296</v>
      </c>
      <c r="P778" s="1442">
        <v>46290.041666666664</v>
      </c>
    </row>
    <row r="779" spans="1:16">
      <c r="A779" t="s">
        <v>5667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5668</v>
      </c>
      <c r="J779" s="1442">
        <v>46239</v>
      </c>
      <c r="K779" s="1442">
        <v>46278</v>
      </c>
      <c r="L779" s="1442">
        <v>46286.375</v>
      </c>
      <c r="M779" s="1442" t="s">
        <v>2521</v>
      </c>
      <c r="N779" t="s">
        <v>2434</v>
      </c>
      <c r="O779" s="1442">
        <v>46288</v>
      </c>
      <c r="P779" s="1442">
        <v>46293.375</v>
      </c>
    </row>
    <row r="780" spans="1:16">
      <c r="A780" t="s">
        <v>5798</v>
      </c>
      <c r="B780" t="s">
        <v>64</v>
      </c>
      <c r="C780" t="s">
        <v>450</v>
      </c>
      <c r="D780" t="s">
        <v>4526</v>
      </c>
      <c r="E780" t="s">
        <v>1151</v>
      </c>
      <c r="F780" t="s">
        <v>421</v>
      </c>
      <c r="G780">
        <v>864</v>
      </c>
      <c r="H780" t="s">
        <v>951</v>
      </c>
      <c r="I780" t="s">
        <v>5799</v>
      </c>
      <c r="J780" s="1442">
        <v>46237</v>
      </c>
      <c r="K780" s="1442">
        <v>46292</v>
      </c>
      <c r="L780" s="1442">
        <v>46297.291666666664</v>
      </c>
      <c r="M780" s="1442" t="s">
        <v>2521</v>
      </c>
      <c r="N780" t="s">
        <v>2434</v>
      </c>
      <c r="O780" s="1442">
        <v>46308</v>
      </c>
      <c r="P780" s="1442">
        <v>46304.291666666664</v>
      </c>
    </row>
    <row r="781" spans="1:16">
      <c r="A781" t="s">
        <v>5755</v>
      </c>
      <c r="B781" t="s">
        <v>64</v>
      </c>
      <c r="C781" t="s">
        <v>100</v>
      </c>
      <c r="D781" t="s">
        <v>4526</v>
      </c>
      <c r="E781" t="s">
        <v>1151</v>
      </c>
      <c r="F781" t="s">
        <v>421</v>
      </c>
      <c r="G781">
        <v>4320</v>
      </c>
      <c r="H781" t="s">
        <v>951</v>
      </c>
      <c r="I781" t="s">
        <v>5756</v>
      </c>
      <c r="J781" s="1442">
        <v>46238</v>
      </c>
      <c r="K781" s="1442">
        <v>46274</v>
      </c>
      <c r="L781" s="1442">
        <v>46279.958333333336</v>
      </c>
      <c r="M781" s="1442" t="s">
        <v>2521</v>
      </c>
      <c r="N781" t="s">
        <v>2434</v>
      </c>
      <c r="O781" s="1442">
        <v>46293</v>
      </c>
      <c r="P781" s="1442">
        <v>46286.958333333336</v>
      </c>
    </row>
    <row r="782" spans="1:16">
      <c r="A782" t="s">
        <v>5809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5810</v>
      </c>
      <c r="J782" s="1442">
        <v>46235</v>
      </c>
      <c r="K782" s="1442">
        <v>46281</v>
      </c>
      <c r="L782" s="1442">
        <v>46284.427083333336</v>
      </c>
      <c r="M782" s="1442" t="s">
        <v>2521</v>
      </c>
      <c r="N782" t="s">
        <v>2434</v>
      </c>
      <c r="O782" s="1442">
        <v>46300</v>
      </c>
      <c r="P782" s="1442">
        <v>46291.427083333336</v>
      </c>
    </row>
    <row r="783" spans="1:16">
      <c r="A783" t="s">
        <v>5793</v>
      </c>
      <c r="B783" t="s">
        <v>64</v>
      </c>
      <c r="C783" t="s">
        <v>450</v>
      </c>
      <c r="D783" t="s">
        <v>4526</v>
      </c>
      <c r="E783" t="s">
        <v>195</v>
      </c>
      <c r="F783" t="s">
        <v>196</v>
      </c>
      <c r="G783">
        <v>936</v>
      </c>
      <c r="H783" t="s">
        <v>951</v>
      </c>
      <c r="I783" t="s">
        <v>5794</v>
      </c>
      <c r="J783" s="1442">
        <v>46236</v>
      </c>
      <c r="K783" s="1442">
        <v>46285</v>
      </c>
      <c r="L783" s="1442">
        <v>46297.291666666664</v>
      </c>
      <c r="M783" s="1442" t="s">
        <v>2521</v>
      </c>
      <c r="N783" t="s">
        <v>2434</v>
      </c>
      <c r="O783" s="1442">
        <v>46308</v>
      </c>
      <c r="P783" s="1442">
        <v>46304.291666666664</v>
      </c>
    </row>
    <row r="784" spans="1:16">
      <c r="A784" t="s">
        <v>5907</v>
      </c>
      <c r="B784" t="s">
        <v>144</v>
      </c>
      <c r="C784" t="s">
        <v>145</v>
      </c>
      <c r="D784" t="s">
        <v>4526</v>
      </c>
      <c r="E784" t="s">
        <v>4587</v>
      </c>
      <c r="F784" t="s">
        <v>330</v>
      </c>
      <c r="G784">
        <v>720</v>
      </c>
      <c r="H784" t="s">
        <v>951</v>
      </c>
      <c r="I784" t="s">
        <v>5908</v>
      </c>
      <c r="J784" s="1442">
        <v>46237</v>
      </c>
      <c r="K784" s="1442">
        <v>46274</v>
      </c>
      <c r="L784" s="1442">
        <v>46281</v>
      </c>
      <c r="M784" s="1442"/>
      <c r="N784" t="s">
        <v>973</v>
      </c>
      <c r="O784" s="1442">
        <v>46274</v>
      </c>
      <c r="P784" s="1442">
        <v>46281</v>
      </c>
    </row>
    <row r="785" spans="1:16">
      <c r="A785" t="s">
        <v>5892</v>
      </c>
      <c r="B785" t="s">
        <v>64</v>
      </c>
      <c r="C785" t="s">
        <v>100</v>
      </c>
      <c r="D785" t="s">
        <v>4526</v>
      </c>
      <c r="E785" t="s">
        <v>4587</v>
      </c>
      <c r="F785" t="s">
        <v>330</v>
      </c>
      <c r="G785">
        <v>1440</v>
      </c>
      <c r="H785" t="s">
        <v>951</v>
      </c>
      <c r="I785" t="s">
        <v>5894</v>
      </c>
      <c r="J785" s="1442">
        <v>46237</v>
      </c>
      <c r="K785" s="1442">
        <v>46274</v>
      </c>
      <c r="L785" s="1442">
        <v>46281</v>
      </c>
      <c r="M785" s="1442"/>
      <c r="N785" t="s">
        <v>2434</v>
      </c>
      <c r="O785" s="1442">
        <v>46295</v>
      </c>
      <c r="P785" s="1442">
        <v>46288</v>
      </c>
    </row>
    <row r="786" spans="1:16">
      <c r="A786" t="s">
        <v>5903</v>
      </c>
      <c r="B786" t="s">
        <v>144</v>
      </c>
      <c r="C786" t="s">
        <v>145</v>
      </c>
      <c r="D786" t="s">
        <v>4526</v>
      </c>
      <c r="E786" t="s">
        <v>4587</v>
      </c>
      <c r="F786" t="s">
        <v>330</v>
      </c>
      <c r="G786">
        <v>2880</v>
      </c>
      <c r="H786" t="s">
        <v>951</v>
      </c>
      <c r="I786" t="s">
        <v>5904</v>
      </c>
      <c r="J786" s="1442">
        <v>46237</v>
      </c>
      <c r="K786" s="1442">
        <v>46274</v>
      </c>
      <c r="L786" s="1442">
        <v>46281</v>
      </c>
      <c r="M786" s="1442"/>
      <c r="N786" t="s">
        <v>973</v>
      </c>
      <c r="O786" s="1442">
        <v>46274</v>
      </c>
      <c r="P786" s="1442">
        <v>46281</v>
      </c>
    </row>
    <row r="787" spans="1:16">
      <c r="A787" t="s">
        <v>5698</v>
      </c>
      <c r="B787" t="s">
        <v>144</v>
      </c>
      <c r="C787" t="s">
        <v>145</v>
      </c>
      <c r="D787" t="s">
        <v>4526</v>
      </c>
      <c r="E787" t="s">
        <v>4587</v>
      </c>
      <c r="F787" t="s">
        <v>330</v>
      </c>
      <c r="G787">
        <v>4320</v>
      </c>
      <c r="H787" t="s">
        <v>951</v>
      </c>
      <c r="I787" t="s">
        <v>5699</v>
      </c>
      <c r="J787" s="1442">
        <v>46239</v>
      </c>
      <c r="K787" s="1442">
        <v>46274</v>
      </c>
      <c r="L787" s="1442">
        <v>46279.958333333336</v>
      </c>
      <c r="M787" s="1442" t="s">
        <v>2521</v>
      </c>
      <c r="N787" t="s">
        <v>973</v>
      </c>
      <c r="O787" s="1442">
        <v>46280</v>
      </c>
      <c r="P787" s="1442">
        <v>46279.958333333336</v>
      </c>
    </row>
    <row r="788" spans="1:16">
      <c r="A788" t="s">
        <v>5660</v>
      </c>
      <c r="B788" t="s">
        <v>64</v>
      </c>
      <c r="C788" t="s">
        <v>450</v>
      </c>
      <c r="D788" t="s">
        <v>4526</v>
      </c>
      <c r="E788" t="s">
        <v>1151</v>
      </c>
      <c r="F788" t="s">
        <v>421</v>
      </c>
      <c r="G788">
        <v>2592</v>
      </c>
      <c r="H788" t="s">
        <v>951</v>
      </c>
      <c r="I788" t="s">
        <v>5663</v>
      </c>
      <c r="J788" s="1442">
        <v>46239</v>
      </c>
      <c r="K788" s="1442">
        <v>46278</v>
      </c>
      <c r="L788" s="1442">
        <v>46286.375</v>
      </c>
      <c r="M788" s="1442" t="s">
        <v>2521</v>
      </c>
      <c r="N788" t="s">
        <v>2434</v>
      </c>
      <c r="O788" s="1442">
        <v>46288</v>
      </c>
      <c r="P788" s="1442">
        <v>46293.375</v>
      </c>
    </row>
    <row r="789" spans="1:16">
      <c r="A789" t="s">
        <v>5759</v>
      </c>
      <c r="B789" t="s">
        <v>64</v>
      </c>
      <c r="C789" t="s">
        <v>65</v>
      </c>
      <c r="D789" t="s">
        <v>4526</v>
      </c>
      <c r="E789" t="s">
        <v>1151</v>
      </c>
      <c r="F789" t="s">
        <v>421</v>
      </c>
      <c r="G789">
        <v>864</v>
      </c>
      <c r="H789" t="s">
        <v>951</v>
      </c>
      <c r="I789" t="s">
        <v>5760</v>
      </c>
      <c r="J789" s="1442">
        <v>46238</v>
      </c>
      <c r="K789" s="1442">
        <v>46281</v>
      </c>
      <c r="L789" s="1442">
        <v>46282.833333333336</v>
      </c>
      <c r="M789" s="1442" t="s">
        <v>2521</v>
      </c>
      <c r="N789" t="s">
        <v>2434</v>
      </c>
      <c r="O789" s="1442">
        <v>46295</v>
      </c>
      <c r="P789" s="1442">
        <v>46290.833333333336</v>
      </c>
    </row>
    <row r="790" spans="1:16">
      <c r="A790" t="s">
        <v>5753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5754</v>
      </c>
      <c r="J790" s="1442">
        <v>46242</v>
      </c>
      <c r="K790" s="1442">
        <v>46284</v>
      </c>
      <c r="L790" s="1442">
        <v>46285</v>
      </c>
      <c r="M790" s="1442"/>
      <c r="N790" t="s">
        <v>2434</v>
      </c>
      <c r="O790" s="1442">
        <v>46290</v>
      </c>
      <c r="P790" s="1442">
        <v>46292</v>
      </c>
    </row>
    <row r="791" spans="1:16">
      <c r="A791" t="s">
        <v>5591</v>
      </c>
      <c r="B791" t="s">
        <v>64</v>
      </c>
      <c r="C791" t="s">
        <v>100</v>
      </c>
      <c r="D791" t="s">
        <v>4526</v>
      </c>
      <c r="E791" t="s">
        <v>5085</v>
      </c>
      <c r="F791" t="s">
        <v>330</v>
      </c>
      <c r="G791">
        <v>4320</v>
      </c>
      <c r="H791" t="s">
        <v>951</v>
      </c>
      <c r="I791" t="s">
        <v>5593</v>
      </c>
      <c r="J791" s="1442">
        <v>46236</v>
      </c>
      <c r="K791" s="1442">
        <v>46273</v>
      </c>
      <c r="L791" s="1442">
        <v>46279.5</v>
      </c>
      <c r="M791" s="1442"/>
      <c r="N791" t="s">
        <v>2434</v>
      </c>
      <c r="O791" s="1442">
        <v>46287</v>
      </c>
      <c r="P791" s="1442">
        <v>46286.5</v>
      </c>
    </row>
    <row r="792" spans="1:16">
      <c r="A792" t="s">
        <v>5630</v>
      </c>
      <c r="B792" t="s">
        <v>64</v>
      </c>
      <c r="C792" t="s">
        <v>65</v>
      </c>
      <c r="D792" t="s">
        <v>4526</v>
      </c>
      <c r="E792" t="s">
        <v>71</v>
      </c>
      <c r="F792" t="s">
        <v>72</v>
      </c>
      <c r="G792">
        <v>864</v>
      </c>
      <c r="H792" t="s">
        <v>951</v>
      </c>
      <c r="I792" t="s">
        <v>5631</v>
      </c>
      <c r="J792" s="1442">
        <v>46234</v>
      </c>
      <c r="K792" s="1442">
        <v>46279</v>
      </c>
      <c r="L792" s="1442">
        <v>46285.041666666664</v>
      </c>
      <c r="M792" s="1442" t="s">
        <v>2521</v>
      </c>
      <c r="N792" t="s">
        <v>2434</v>
      </c>
      <c r="O792" s="1442">
        <v>46297</v>
      </c>
      <c r="P792" s="1442">
        <v>46293.041666666664</v>
      </c>
    </row>
    <row r="793" spans="1:16">
      <c r="A793" t="s">
        <v>5634</v>
      </c>
      <c r="B793" t="s">
        <v>64</v>
      </c>
      <c r="C793" t="s">
        <v>65</v>
      </c>
      <c r="D793" t="s">
        <v>4526</v>
      </c>
      <c r="E793" t="s">
        <v>71</v>
      </c>
      <c r="F793" t="s">
        <v>72</v>
      </c>
      <c r="G793">
        <v>864</v>
      </c>
      <c r="H793" t="s">
        <v>951</v>
      </c>
      <c r="I793" t="s">
        <v>5635</v>
      </c>
      <c r="J793" s="1442">
        <v>46235</v>
      </c>
      <c r="K793" s="1442">
        <v>46286</v>
      </c>
      <c r="L793" s="1442">
        <v>46313.791666666664</v>
      </c>
      <c r="M793" s="1442" t="s">
        <v>2521</v>
      </c>
      <c r="N793" t="s">
        <v>2434</v>
      </c>
      <c r="O793" s="1442">
        <v>46321</v>
      </c>
      <c r="P793" s="1442">
        <v>46321.791666666664</v>
      </c>
    </row>
    <row r="794" spans="1:16">
      <c r="A794" t="s">
        <v>5815</v>
      </c>
      <c r="B794" t="s">
        <v>64</v>
      </c>
      <c r="C794" t="s">
        <v>65</v>
      </c>
      <c r="D794" t="s">
        <v>4526</v>
      </c>
      <c r="E794" t="s">
        <v>691</v>
      </c>
      <c r="F794" t="s">
        <v>692</v>
      </c>
      <c r="G794">
        <v>864</v>
      </c>
      <c r="H794" t="s">
        <v>951</v>
      </c>
      <c r="I794" t="s">
        <v>5816</v>
      </c>
      <c r="J794" s="1442">
        <v>46235</v>
      </c>
      <c r="K794" s="1442">
        <v>46310</v>
      </c>
      <c r="L794" s="1442">
        <v>46317.75</v>
      </c>
      <c r="M794" s="1442" t="s">
        <v>2521</v>
      </c>
      <c r="N794" t="s">
        <v>2434</v>
      </c>
      <c r="O794" s="1442">
        <v>46324</v>
      </c>
      <c r="P794" s="1442">
        <v>46325.75</v>
      </c>
    </row>
    <row r="795" spans="1:16">
      <c r="A795" t="s">
        <v>5679</v>
      </c>
      <c r="B795" t="s">
        <v>64</v>
      </c>
      <c r="C795" t="s">
        <v>100</v>
      </c>
      <c r="D795" t="s">
        <v>5374</v>
      </c>
      <c r="E795" t="s">
        <v>5375</v>
      </c>
      <c r="F795" t="s">
        <v>5376</v>
      </c>
      <c r="G795">
        <v>936</v>
      </c>
      <c r="H795" t="s">
        <v>951</v>
      </c>
      <c r="I795" t="s">
        <v>5680</v>
      </c>
      <c r="J795" s="1442">
        <v>46235</v>
      </c>
      <c r="K795" s="1442">
        <v>46277</v>
      </c>
      <c r="L795" s="1442"/>
      <c r="M795" s="1442"/>
      <c r="N795" t="s">
        <v>2434</v>
      </c>
      <c r="O795" s="1442">
        <v>46290</v>
      </c>
      <c r="P795" s="1442">
        <v>46284</v>
      </c>
    </row>
    <row r="796" spans="1:16">
      <c r="A796" t="s">
        <v>5597</v>
      </c>
      <c r="B796" t="s">
        <v>64</v>
      </c>
      <c r="C796" t="s">
        <v>100</v>
      </c>
      <c r="D796" t="s">
        <v>5374</v>
      </c>
      <c r="E796" t="s">
        <v>5395</v>
      </c>
      <c r="F796" t="s">
        <v>5396</v>
      </c>
      <c r="G796">
        <v>936</v>
      </c>
      <c r="H796" t="s">
        <v>951</v>
      </c>
      <c r="I796" t="s">
        <v>5598</v>
      </c>
      <c r="J796" s="1442">
        <v>46236</v>
      </c>
      <c r="K796" s="1442">
        <v>46273</v>
      </c>
      <c r="L796" s="1442">
        <v>46279.5</v>
      </c>
      <c r="M796" s="1442"/>
      <c r="N796" t="s">
        <v>2434</v>
      </c>
      <c r="O796" s="1442">
        <v>46287</v>
      </c>
      <c r="P796" s="1442">
        <v>46286.5</v>
      </c>
    </row>
    <row r="797" spans="1:16">
      <c r="A797" t="s">
        <v>5710</v>
      </c>
      <c r="B797" t="s">
        <v>64</v>
      </c>
      <c r="C797" t="s">
        <v>100</v>
      </c>
      <c r="D797" t="s">
        <v>5374</v>
      </c>
      <c r="E797" t="s">
        <v>5395</v>
      </c>
      <c r="F797" t="s">
        <v>5396</v>
      </c>
      <c r="G797">
        <v>1872</v>
      </c>
      <c r="H797" t="s">
        <v>951</v>
      </c>
      <c r="I797" t="s">
        <v>5712</v>
      </c>
      <c r="J797" s="1442">
        <v>46237</v>
      </c>
      <c r="K797" s="1442">
        <v>46274</v>
      </c>
      <c r="L797" s="1442">
        <v>46283.041666666664</v>
      </c>
      <c r="M797" s="1442" t="s">
        <v>2521</v>
      </c>
      <c r="N797" t="s">
        <v>2434</v>
      </c>
      <c r="O797" s="1442">
        <v>46296</v>
      </c>
      <c r="P797" s="1442">
        <v>46290.041666666664</v>
      </c>
    </row>
    <row r="798" spans="1:16">
      <c r="A798" t="s">
        <v>5683</v>
      </c>
      <c r="B798" t="s">
        <v>64</v>
      </c>
      <c r="C798" t="s">
        <v>100</v>
      </c>
      <c r="D798" t="s">
        <v>5374</v>
      </c>
      <c r="E798" t="s">
        <v>5375</v>
      </c>
      <c r="F798" t="s">
        <v>5376</v>
      </c>
      <c r="G798">
        <v>1872</v>
      </c>
      <c r="H798" t="s">
        <v>951</v>
      </c>
      <c r="I798" t="s">
        <v>5684</v>
      </c>
      <c r="J798" s="1442">
        <v>46235</v>
      </c>
      <c r="K798" s="1442">
        <v>46277</v>
      </c>
      <c r="L798" s="1442"/>
      <c r="M798" s="1442"/>
      <c r="N798" t="s">
        <v>2434</v>
      </c>
      <c r="O798" s="1442">
        <v>46290</v>
      </c>
      <c r="P798" s="1442">
        <v>46284</v>
      </c>
    </row>
    <row r="799" spans="1:16">
      <c r="A799" t="s">
        <v>5706</v>
      </c>
      <c r="B799" t="s">
        <v>64</v>
      </c>
      <c r="C799" t="s">
        <v>100</v>
      </c>
      <c r="D799" t="s">
        <v>5374</v>
      </c>
      <c r="E799" t="s">
        <v>5375</v>
      </c>
      <c r="F799" t="s">
        <v>5376</v>
      </c>
      <c r="G799">
        <v>936</v>
      </c>
      <c r="H799" t="s">
        <v>75</v>
      </c>
      <c r="I799" t="s">
        <v>5707</v>
      </c>
      <c r="J799" s="1442">
        <v>46239</v>
      </c>
      <c r="K799" s="1442">
        <v>46274</v>
      </c>
      <c r="L799" s="1442">
        <v>46279.958333333336</v>
      </c>
      <c r="M799" s="1442">
        <v>46279.935393518521</v>
      </c>
      <c r="N799" t="s">
        <v>2434</v>
      </c>
      <c r="O799" s="1442">
        <v>46293</v>
      </c>
      <c r="P799" s="1442">
        <v>46286.935393518521</v>
      </c>
    </row>
    <row r="800" spans="1:16">
      <c r="A800" t="s">
        <v>5819</v>
      </c>
      <c r="B800" t="s">
        <v>64</v>
      </c>
      <c r="C800" t="s">
        <v>65</v>
      </c>
      <c r="D800" t="s">
        <v>4526</v>
      </c>
      <c r="E800" t="s">
        <v>691</v>
      </c>
      <c r="F800" t="s">
        <v>692</v>
      </c>
      <c r="G800">
        <v>1728</v>
      </c>
      <c r="H800" t="s">
        <v>951</v>
      </c>
      <c r="I800" t="s">
        <v>5820</v>
      </c>
      <c r="J800" s="1442">
        <v>46235</v>
      </c>
      <c r="K800" s="1442">
        <v>46295</v>
      </c>
      <c r="L800" s="1442">
        <v>46297.75</v>
      </c>
      <c r="M800" s="1442" t="s">
        <v>2521</v>
      </c>
      <c r="N800" t="s">
        <v>2434</v>
      </c>
      <c r="O800" s="1442">
        <v>46309</v>
      </c>
      <c r="P800" s="1442">
        <v>46305.75</v>
      </c>
    </row>
    <row r="801" spans="1:16">
      <c r="A801" t="s">
        <v>5537</v>
      </c>
      <c r="B801" t="s">
        <v>64</v>
      </c>
      <c r="C801" t="s">
        <v>114</v>
      </c>
      <c r="D801" t="s">
        <v>132</v>
      </c>
      <c r="E801" t="s">
        <v>5538</v>
      </c>
      <c r="F801" t="s">
        <v>5539</v>
      </c>
      <c r="G801">
        <v>660</v>
      </c>
      <c r="H801" t="s">
        <v>951</v>
      </c>
      <c r="I801" t="s">
        <v>5540</v>
      </c>
      <c r="J801" s="1442">
        <v>46230</v>
      </c>
      <c r="K801" s="1442">
        <v>46282</v>
      </c>
      <c r="L801" s="1442">
        <v>46291.541666666664</v>
      </c>
      <c r="M801" s="1442" t="s">
        <v>2521</v>
      </c>
      <c r="N801" t="s">
        <v>2434</v>
      </c>
      <c r="O801" s="1442">
        <v>46300</v>
      </c>
      <c r="P801" s="1442">
        <v>46300.541666666664</v>
      </c>
    </row>
    <row r="802" spans="1:16">
      <c r="A802" t="s">
        <v>5681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5682</v>
      </c>
      <c r="J802" s="1442">
        <v>46235</v>
      </c>
      <c r="K802" s="1442">
        <v>46277</v>
      </c>
      <c r="L802" s="1442"/>
      <c r="M802" s="1442"/>
      <c r="N802" t="s">
        <v>2434</v>
      </c>
      <c r="O802" s="1442">
        <v>46283</v>
      </c>
      <c r="P802" s="1442">
        <v>46284</v>
      </c>
    </row>
    <row r="803" spans="1:16">
      <c r="A803" t="s">
        <v>5733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5734</v>
      </c>
      <c r="J803" s="1442">
        <v>46238</v>
      </c>
      <c r="K803" s="1442">
        <v>46281</v>
      </c>
      <c r="L803" s="1442">
        <v>46282.833333333336</v>
      </c>
      <c r="M803" s="1442" t="s">
        <v>2521</v>
      </c>
      <c r="N803" t="s">
        <v>2434</v>
      </c>
      <c r="O803" s="1442">
        <v>46289</v>
      </c>
      <c r="P803" s="1442">
        <v>46290.833333333336</v>
      </c>
    </row>
    <row r="804" spans="1:16">
      <c r="A804" t="s">
        <v>5813</v>
      </c>
      <c r="B804" t="s">
        <v>64</v>
      </c>
      <c r="C804" t="s">
        <v>100</v>
      </c>
      <c r="D804" t="s">
        <v>284</v>
      </c>
      <c r="E804" t="s">
        <v>5578</v>
      </c>
      <c r="F804" t="s">
        <v>1570</v>
      </c>
      <c r="G804">
        <v>4320</v>
      </c>
      <c r="H804" t="s">
        <v>951</v>
      </c>
      <c r="I804" t="s">
        <v>5814</v>
      </c>
      <c r="J804" s="1442">
        <v>46235</v>
      </c>
      <c r="K804" s="1442">
        <v>46281</v>
      </c>
      <c r="L804" s="1442">
        <v>46284.427083333336</v>
      </c>
      <c r="M804" s="1442" t="s">
        <v>2521</v>
      </c>
      <c r="N804" t="s">
        <v>2434</v>
      </c>
      <c r="O804" s="1442">
        <v>46300</v>
      </c>
      <c r="P804" s="1442">
        <v>46291.427083333336</v>
      </c>
    </row>
    <row r="805" spans="1:16">
      <c r="A805" t="s">
        <v>5823</v>
      </c>
      <c r="B805" t="s">
        <v>64</v>
      </c>
      <c r="C805" t="s">
        <v>310</v>
      </c>
      <c r="D805" t="s">
        <v>284</v>
      </c>
      <c r="E805" t="s">
        <v>5578</v>
      </c>
      <c r="F805" t="s">
        <v>1570</v>
      </c>
      <c r="G805">
        <v>2160</v>
      </c>
      <c r="H805" t="s">
        <v>951</v>
      </c>
      <c r="I805" t="s">
        <v>5824</v>
      </c>
      <c r="J805" s="1442">
        <v>46235</v>
      </c>
      <c r="K805" s="1442">
        <v>46292</v>
      </c>
      <c r="L805" s="1442"/>
      <c r="M805" s="1442"/>
      <c r="N805" t="s">
        <v>2434</v>
      </c>
      <c r="O805" s="1442">
        <v>46314</v>
      </c>
      <c r="P805" s="1442">
        <v>46302</v>
      </c>
    </row>
    <row r="806" spans="1:16">
      <c r="A806" t="s">
        <v>5827</v>
      </c>
      <c r="B806" t="s">
        <v>64</v>
      </c>
      <c r="C806" t="s">
        <v>310</v>
      </c>
      <c r="D806" t="s">
        <v>284</v>
      </c>
      <c r="E806" t="s">
        <v>5578</v>
      </c>
      <c r="F806" t="s">
        <v>1570</v>
      </c>
      <c r="G806">
        <v>720</v>
      </c>
      <c r="H806" t="s">
        <v>951</v>
      </c>
      <c r="I806" t="s">
        <v>5828</v>
      </c>
      <c r="J806" s="1442">
        <v>46235</v>
      </c>
      <c r="K806" s="1442">
        <v>46299</v>
      </c>
      <c r="L806" s="1442"/>
      <c r="M806" s="1442"/>
      <c r="N806" t="s">
        <v>2434</v>
      </c>
      <c r="O806" s="1442">
        <v>46315</v>
      </c>
      <c r="P806" s="1442">
        <v>46309</v>
      </c>
    </row>
    <row r="807" spans="1:16">
      <c r="A807" t="s">
        <v>5644</v>
      </c>
      <c r="B807" t="s">
        <v>64</v>
      </c>
      <c r="C807" t="s">
        <v>114</v>
      </c>
      <c r="D807" t="s">
        <v>5331</v>
      </c>
      <c r="E807" t="s">
        <v>5332</v>
      </c>
      <c r="F807" t="s">
        <v>5333</v>
      </c>
      <c r="G807">
        <v>720</v>
      </c>
      <c r="H807" t="s">
        <v>951</v>
      </c>
      <c r="I807" t="s">
        <v>5646</v>
      </c>
      <c r="J807" s="1442">
        <v>46227</v>
      </c>
      <c r="K807" s="1442">
        <v>46268</v>
      </c>
      <c r="L807" s="1442">
        <v>46280.541666666664</v>
      </c>
      <c r="M807" s="1442" t="s">
        <v>2521</v>
      </c>
      <c r="N807" t="s">
        <v>2434</v>
      </c>
      <c r="O807" s="1442">
        <v>46294</v>
      </c>
      <c r="P807" s="1442">
        <v>46289.541666666664</v>
      </c>
    </row>
    <row r="808" spans="1:16">
      <c r="A808" t="s">
        <v>5751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5752</v>
      </c>
      <c r="J808" s="1442">
        <v>46242</v>
      </c>
      <c r="K808" s="1442">
        <v>46284</v>
      </c>
      <c r="L808" s="1442">
        <v>46285</v>
      </c>
      <c r="M808" s="1442"/>
      <c r="N808" t="s">
        <v>2434</v>
      </c>
      <c r="O808" s="1442">
        <v>46290</v>
      </c>
      <c r="P808" s="1442">
        <v>46292</v>
      </c>
    </row>
    <row r="809" spans="1:16">
      <c r="A809" t="s">
        <v>5857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5858</v>
      </c>
      <c r="J809" s="1442">
        <v>46245</v>
      </c>
      <c r="K809" s="1442">
        <v>46281</v>
      </c>
      <c r="L809" s="1442">
        <v>46284.427083333336</v>
      </c>
      <c r="M809" s="1442" t="s">
        <v>2521</v>
      </c>
      <c r="N809" t="s">
        <v>2434</v>
      </c>
      <c r="O809" s="1442">
        <v>46300</v>
      </c>
      <c r="P809" s="1442">
        <v>46291.427083333336</v>
      </c>
    </row>
    <row r="810" spans="1:16">
      <c r="A810" t="s">
        <v>5871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5872</v>
      </c>
      <c r="J810" s="1442">
        <v>46248</v>
      </c>
      <c r="K810" s="1442">
        <v>46291</v>
      </c>
      <c r="L810" s="1442">
        <v>46284.427083333336</v>
      </c>
      <c r="M810" s="1442" t="s">
        <v>2521</v>
      </c>
      <c r="N810" t="s">
        <v>2434</v>
      </c>
      <c r="O810" s="1442">
        <v>46300</v>
      </c>
      <c r="P810" s="1442">
        <v>46291.427083333336</v>
      </c>
    </row>
    <row r="811" spans="1:16">
      <c r="A811" t="s">
        <v>5883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5884</v>
      </c>
      <c r="J811" s="1442">
        <v>46244</v>
      </c>
      <c r="K811" s="1442">
        <v>46281</v>
      </c>
      <c r="L811" s="1442">
        <v>46295.875</v>
      </c>
      <c r="M811" s="1442" t="s">
        <v>2521</v>
      </c>
      <c r="N811" t="s">
        <v>2434</v>
      </c>
      <c r="O811" s="1442">
        <v>46309</v>
      </c>
      <c r="P811" s="1442">
        <v>46302.875</v>
      </c>
    </row>
    <row r="812" spans="1:16">
      <c r="A812" t="s">
        <v>5927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5929</v>
      </c>
      <c r="J812" s="1442">
        <v>46245</v>
      </c>
      <c r="K812" s="1442">
        <v>46304</v>
      </c>
      <c r="L812" s="1442">
        <v>46290.75</v>
      </c>
      <c r="M812" s="1442"/>
      <c r="N812" t="s">
        <v>2434</v>
      </c>
      <c r="O812" s="1442">
        <v>46300</v>
      </c>
      <c r="P812" s="1442">
        <v>46300.75</v>
      </c>
    </row>
    <row r="813" spans="1:16">
      <c r="A813" t="s">
        <v>5743</v>
      </c>
      <c r="B813" t="s">
        <v>64</v>
      </c>
      <c r="C813" t="s">
        <v>100</v>
      </c>
      <c r="D813" t="s">
        <v>70</v>
      </c>
      <c r="E813" t="s">
        <v>5744</v>
      </c>
      <c r="F813" t="s">
        <v>1484</v>
      </c>
      <c r="G813">
        <v>1188</v>
      </c>
      <c r="H813" t="s">
        <v>951</v>
      </c>
      <c r="I813" t="s">
        <v>5746</v>
      </c>
      <c r="J813" s="1442">
        <v>46242</v>
      </c>
      <c r="K813" s="1442">
        <v>46284</v>
      </c>
      <c r="L813" s="1442">
        <v>46285</v>
      </c>
      <c r="M813" s="1442"/>
      <c r="N813" t="s">
        <v>2434</v>
      </c>
      <c r="O813" s="1442">
        <v>46290</v>
      </c>
      <c r="P813" s="1442">
        <v>46292</v>
      </c>
    </row>
    <row r="814" spans="1:16">
      <c r="A814" t="s">
        <v>5978</v>
      </c>
      <c r="B814" t="s">
        <v>64</v>
      </c>
      <c r="C814" t="s">
        <v>100</v>
      </c>
      <c r="D814" t="s">
        <v>4526</v>
      </c>
      <c r="E814" t="s">
        <v>71</v>
      </c>
      <c r="F814" t="s">
        <v>72</v>
      </c>
      <c r="G814">
        <v>2592</v>
      </c>
      <c r="H814" t="s">
        <v>951</v>
      </c>
      <c r="I814" t="s">
        <v>5979</v>
      </c>
      <c r="J814" s="1442">
        <v>46239</v>
      </c>
      <c r="K814" s="1442">
        <v>46274</v>
      </c>
      <c r="L814" s="1442">
        <v>46283.041666666664</v>
      </c>
      <c r="M814" s="1442" t="s">
        <v>2521</v>
      </c>
      <c r="N814" t="s">
        <v>2434</v>
      </c>
      <c r="O814" s="1442">
        <v>46296</v>
      </c>
      <c r="P814" s="1442">
        <v>46290.041666666664</v>
      </c>
    </row>
    <row r="815" spans="1:16">
      <c r="A815" t="s">
        <v>5916</v>
      </c>
      <c r="B815" t="s">
        <v>64</v>
      </c>
      <c r="C815" t="s">
        <v>100</v>
      </c>
      <c r="D815" t="s">
        <v>70</v>
      </c>
      <c r="E815" t="s">
        <v>5744</v>
      </c>
      <c r="F815" t="s">
        <v>1484</v>
      </c>
      <c r="G815">
        <v>5940</v>
      </c>
      <c r="H815" t="s">
        <v>951</v>
      </c>
      <c r="I815" t="s">
        <v>5917</v>
      </c>
      <c r="J815" s="1442">
        <v>46244</v>
      </c>
      <c r="K815" s="1442">
        <v>46281</v>
      </c>
      <c r="L815" s="1442"/>
      <c r="M815" s="1442"/>
      <c r="N815" t="s">
        <v>2434</v>
      </c>
      <c r="O815" s="1442">
        <v>46309</v>
      </c>
      <c r="P815" s="1442">
        <v>46288</v>
      </c>
    </row>
    <row r="816" spans="1:16">
      <c r="A816" t="s">
        <v>5909</v>
      </c>
      <c r="B816" t="s">
        <v>64</v>
      </c>
      <c r="C816" t="s">
        <v>100</v>
      </c>
      <c r="D816" t="s">
        <v>70</v>
      </c>
      <c r="E816" t="s">
        <v>5910</v>
      </c>
      <c r="F816" t="s">
        <v>1807</v>
      </c>
      <c r="G816">
        <v>594</v>
      </c>
      <c r="H816" t="s">
        <v>951</v>
      </c>
      <c r="I816" t="s">
        <v>5911</v>
      </c>
      <c r="J816" s="1442">
        <v>46244</v>
      </c>
      <c r="K816" s="1442">
        <v>46281</v>
      </c>
      <c r="L816" s="1442"/>
      <c r="M816" s="1442"/>
      <c r="N816" t="s">
        <v>2434</v>
      </c>
      <c r="O816" s="1442">
        <v>46309</v>
      </c>
      <c r="P816" s="1442">
        <v>46288</v>
      </c>
    </row>
    <row r="817" spans="1:16">
      <c r="A817" t="s">
        <v>5973</v>
      </c>
      <c r="B817" t="s">
        <v>64</v>
      </c>
      <c r="C817" t="s">
        <v>450</v>
      </c>
      <c r="D817" t="s">
        <v>4526</v>
      </c>
      <c r="E817" t="s">
        <v>1151</v>
      </c>
      <c r="F817" t="s">
        <v>421</v>
      </c>
      <c r="G817">
        <v>1728</v>
      </c>
      <c r="H817" t="s">
        <v>951</v>
      </c>
      <c r="I817" t="s">
        <v>5975</v>
      </c>
      <c r="J817" s="1442">
        <v>46243</v>
      </c>
      <c r="K817" s="1442">
        <v>46279</v>
      </c>
      <c r="L817" s="1442">
        <v>46286.375</v>
      </c>
      <c r="M817" s="1442" t="s">
        <v>2521</v>
      </c>
      <c r="N817" t="s">
        <v>2434</v>
      </c>
      <c r="O817" s="1442">
        <v>46300</v>
      </c>
      <c r="P817" s="1442">
        <v>46293.375</v>
      </c>
    </row>
    <row r="818" spans="1:16">
      <c r="A818" t="s">
        <v>5863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5865</v>
      </c>
      <c r="J818" s="1442">
        <v>46245</v>
      </c>
      <c r="K818" s="1442">
        <v>46281</v>
      </c>
      <c r="L818" s="1442">
        <v>46284.427083333336</v>
      </c>
      <c r="M818" s="1442" t="s">
        <v>2521</v>
      </c>
      <c r="N818" t="s">
        <v>2434</v>
      </c>
      <c r="O818" s="1442">
        <v>46300</v>
      </c>
      <c r="P818" s="1442">
        <v>46291.427083333336</v>
      </c>
    </row>
    <row r="819" spans="1:16">
      <c r="A819" t="s">
        <v>5866</v>
      </c>
      <c r="B819" t="s">
        <v>64</v>
      </c>
      <c r="C819" t="s">
        <v>100</v>
      </c>
      <c r="D819" t="s">
        <v>132</v>
      </c>
      <c r="E819" t="s">
        <v>5868</v>
      </c>
      <c r="F819" t="s">
        <v>5869</v>
      </c>
      <c r="G819">
        <v>594</v>
      </c>
      <c r="H819" t="s">
        <v>951</v>
      </c>
      <c r="I819" t="s">
        <v>5870</v>
      </c>
      <c r="J819" s="1442">
        <v>46245</v>
      </c>
      <c r="K819" s="1442">
        <v>46281</v>
      </c>
      <c r="L819" s="1442">
        <v>46284.427083333336</v>
      </c>
      <c r="M819" s="1442" t="s">
        <v>2521</v>
      </c>
      <c r="N819" t="s">
        <v>2434</v>
      </c>
      <c r="O819" s="1442">
        <v>46288</v>
      </c>
      <c r="P819" s="1442">
        <v>46291.427083333336</v>
      </c>
    </row>
    <row r="820" spans="1:16">
      <c r="A820" t="s">
        <v>5878</v>
      </c>
      <c r="B820" t="s">
        <v>64</v>
      </c>
      <c r="C820" t="s">
        <v>100</v>
      </c>
      <c r="D820" t="s">
        <v>5374</v>
      </c>
      <c r="E820" t="s">
        <v>5395</v>
      </c>
      <c r="F820" t="s">
        <v>5396</v>
      </c>
      <c r="G820">
        <v>2808</v>
      </c>
      <c r="H820" t="s">
        <v>951</v>
      </c>
      <c r="I820" t="s">
        <v>5879</v>
      </c>
      <c r="J820" s="1442">
        <v>46244</v>
      </c>
      <c r="K820" s="1442">
        <v>46281</v>
      </c>
      <c r="L820" s="1442">
        <v>46295.875</v>
      </c>
      <c r="M820" s="1442" t="s">
        <v>2521</v>
      </c>
      <c r="N820" t="s">
        <v>2434</v>
      </c>
      <c r="O820" s="1442">
        <v>46288</v>
      </c>
      <c r="P820" s="1442">
        <v>46302.875</v>
      </c>
    </row>
    <row r="821" spans="1:16">
      <c r="A821" t="s">
        <v>5948</v>
      </c>
      <c r="B821" t="s">
        <v>64</v>
      </c>
      <c r="C821" t="s">
        <v>65</v>
      </c>
      <c r="D821" t="s">
        <v>284</v>
      </c>
      <c r="E821" t="s">
        <v>5578</v>
      </c>
      <c r="F821" t="s">
        <v>1570</v>
      </c>
      <c r="G821">
        <v>720</v>
      </c>
      <c r="H821" t="s">
        <v>951</v>
      </c>
      <c r="I821" t="s">
        <v>5949</v>
      </c>
      <c r="J821" s="1442">
        <v>46243</v>
      </c>
      <c r="K821" s="1442">
        <v>46314</v>
      </c>
      <c r="L821" s="1442">
        <v>46328.791666666664</v>
      </c>
      <c r="M821" s="1442" t="s">
        <v>2521</v>
      </c>
      <c r="N821" t="s">
        <v>2434</v>
      </c>
      <c r="O821" s="1442">
        <v>46342</v>
      </c>
      <c r="P821" s="1442">
        <v>46336.791666666664</v>
      </c>
    </row>
    <row r="822" spans="1:16">
      <c r="A822" t="s">
        <v>5876</v>
      </c>
      <c r="B822" t="s">
        <v>64</v>
      </c>
      <c r="C822" t="s">
        <v>100</v>
      </c>
      <c r="D822" t="s">
        <v>5374</v>
      </c>
      <c r="E822" t="s">
        <v>5395</v>
      </c>
      <c r="F822" t="s">
        <v>5396</v>
      </c>
      <c r="G822">
        <v>4680</v>
      </c>
      <c r="H822" t="s">
        <v>951</v>
      </c>
      <c r="I822" t="s">
        <v>5877</v>
      </c>
      <c r="J822" s="1442">
        <v>46248</v>
      </c>
      <c r="K822" s="1442">
        <v>46291</v>
      </c>
      <c r="L822" s="1442">
        <v>46284.427083333336</v>
      </c>
      <c r="M822" s="1442" t="s">
        <v>2521</v>
      </c>
      <c r="N822" t="s">
        <v>2434</v>
      </c>
      <c r="O822" s="1442">
        <v>46300</v>
      </c>
      <c r="P822" s="1442">
        <v>46291.427083333336</v>
      </c>
    </row>
    <row r="823" spans="1:16">
      <c r="A823" t="s">
        <v>5953</v>
      </c>
      <c r="B823" t="s">
        <v>64</v>
      </c>
      <c r="C823" t="s">
        <v>310</v>
      </c>
      <c r="D823" t="s">
        <v>284</v>
      </c>
      <c r="E823" t="s">
        <v>5578</v>
      </c>
      <c r="F823" t="s">
        <v>1570</v>
      </c>
      <c r="G823">
        <v>720</v>
      </c>
      <c r="H823" t="s">
        <v>951</v>
      </c>
      <c r="I823" t="s">
        <v>5954</v>
      </c>
      <c r="J823" s="1442">
        <v>46243</v>
      </c>
      <c r="K823" s="1442">
        <v>46306</v>
      </c>
      <c r="L823" s="1442"/>
      <c r="M823" s="1442"/>
      <c r="N823" t="s">
        <v>2434</v>
      </c>
      <c r="O823" s="1442">
        <v>46321</v>
      </c>
      <c r="P823" s="1442">
        <v>46316</v>
      </c>
    </row>
    <row r="824" spans="1:16">
      <c r="A824" t="s">
        <v>5853</v>
      </c>
      <c r="B824" t="s">
        <v>64</v>
      </c>
      <c r="C824" t="s">
        <v>100</v>
      </c>
      <c r="D824" t="s">
        <v>5374</v>
      </c>
      <c r="E824" t="s">
        <v>5395</v>
      </c>
      <c r="F824" t="s">
        <v>5396</v>
      </c>
      <c r="G824">
        <v>1872</v>
      </c>
      <c r="H824" t="s">
        <v>951</v>
      </c>
      <c r="I824" t="s">
        <v>5854</v>
      </c>
      <c r="J824" s="1442">
        <v>46245</v>
      </c>
      <c r="K824" s="1442">
        <v>46281</v>
      </c>
      <c r="L824" s="1442">
        <v>46284.427083333336</v>
      </c>
      <c r="M824" s="1442" t="s">
        <v>2521</v>
      </c>
      <c r="N824" t="s">
        <v>2434</v>
      </c>
      <c r="O824" s="1442">
        <v>46300</v>
      </c>
      <c r="P824" s="1442">
        <v>46291.427083333336</v>
      </c>
    </row>
    <row r="825" spans="1:16">
      <c r="A825" t="s">
        <v>5914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5915</v>
      </c>
      <c r="J825" s="1442">
        <v>46244</v>
      </c>
      <c r="K825" s="1442">
        <v>46281</v>
      </c>
      <c r="L825" s="1442"/>
      <c r="M825" s="1442"/>
      <c r="N825" t="s">
        <v>2434</v>
      </c>
      <c r="O825" s="1442">
        <v>46309</v>
      </c>
      <c r="P825" s="1442">
        <v>46288</v>
      </c>
    </row>
    <row r="826" spans="1:16">
      <c r="A826" t="s">
        <v>5969</v>
      </c>
      <c r="B826" t="s">
        <v>64</v>
      </c>
      <c r="C826" t="s">
        <v>100</v>
      </c>
      <c r="D826" t="s">
        <v>4526</v>
      </c>
      <c r="E826" t="s">
        <v>195</v>
      </c>
      <c r="F826" t="s">
        <v>196</v>
      </c>
      <c r="G826">
        <v>2808</v>
      </c>
      <c r="H826" t="s">
        <v>951</v>
      </c>
      <c r="I826" t="s">
        <v>5970</v>
      </c>
      <c r="J826" s="1442">
        <v>46243</v>
      </c>
      <c r="K826" s="1442">
        <v>46287</v>
      </c>
      <c r="L826" s="1442">
        <v>46289.625</v>
      </c>
      <c r="M826" s="1442" t="s">
        <v>2521</v>
      </c>
      <c r="N826" t="s">
        <v>2434</v>
      </c>
      <c r="O826" s="1442">
        <v>46303</v>
      </c>
      <c r="P826" s="1442">
        <v>46296.625</v>
      </c>
    </row>
    <row r="827" spans="1:16">
      <c r="A827" t="s">
        <v>5861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5862</v>
      </c>
      <c r="J827" s="1442">
        <v>46245</v>
      </c>
      <c r="K827" s="1442">
        <v>46281</v>
      </c>
      <c r="L827" s="1442">
        <v>46284.427083333336</v>
      </c>
      <c r="M827" s="1442" t="s">
        <v>2521</v>
      </c>
      <c r="N827" t="s">
        <v>2434</v>
      </c>
      <c r="O827" s="1442">
        <v>46300</v>
      </c>
      <c r="P827" s="1442">
        <v>46291.427083333336</v>
      </c>
    </row>
    <row r="828" spans="1:16">
      <c r="A828" t="s">
        <v>5957</v>
      </c>
      <c r="B828" t="s">
        <v>64</v>
      </c>
      <c r="C828" t="s">
        <v>310</v>
      </c>
      <c r="D828" t="s">
        <v>284</v>
      </c>
      <c r="E828" t="s">
        <v>5578</v>
      </c>
      <c r="F828" t="s">
        <v>1570</v>
      </c>
      <c r="G828">
        <v>2160</v>
      </c>
      <c r="H828" t="s">
        <v>951</v>
      </c>
      <c r="I828" t="s">
        <v>5958</v>
      </c>
      <c r="J828" s="1442">
        <v>46243</v>
      </c>
      <c r="K828" s="1442">
        <v>46306</v>
      </c>
      <c r="L828" s="1442"/>
      <c r="M828" s="1442"/>
      <c r="N828" t="s">
        <v>2434</v>
      </c>
      <c r="O828" s="1442">
        <v>46331</v>
      </c>
      <c r="P828" s="1442">
        <v>46316</v>
      </c>
    </row>
    <row r="829" spans="1:16">
      <c r="A829" t="s">
        <v>5961</v>
      </c>
      <c r="B829" t="s">
        <v>64</v>
      </c>
      <c r="C829" t="s">
        <v>100</v>
      </c>
      <c r="D829" t="s">
        <v>284</v>
      </c>
      <c r="E829" t="s">
        <v>5578</v>
      </c>
      <c r="F829" t="s">
        <v>1570</v>
      </c>
      <c r="G829">
        <v>2160</v>
      </c>
      <c r="H829" t="s">
        <v>951</v>
      </c>
      <c r="I829" t="s">
        <v>5962</v>
      </c>
      <c r="J829" s="1442">
        <v>46243</v>
      </c>
      <c r="K829" s="1442">
        <v>46287</v>
      </c>
      <c r="L829" s="1442">
        <v>46289.625</v>
      </c>
      <c r="M829" s="1442" t="s">
        <v>2521</v>
      </c>
      <c r="N829" t="s">
        <v>2434</v>
      </c>
      <c r="O829" s="1442">
        <v>46303</v>
      </c>
      <c r="P829" s="1442">
        <v>46296.625</v>
      </c>
    </row>
    <row r="830" spans="1:16">
      <c r="A830" t="s">
        <v>5965</v>
      </c>
      <c r="B830" t="s">
        <v>64</v>
      </c>
      <c r="C830" t="s">
        <v>100</v>
      </c>
      <c r="D830" t="s">
        <v>284</v>
      </c>
      <c r="E830" t="s">
        <v>5578</v>
      </c>
      <c r="F830" t="s">
        <v>1570</v>
      </c>
      <c r="G830">
        <v>1440</v>
      </c>
      <c r="H830" t="s">
        <v>951</v>
      </c>
      <c r="I830" t="s">
        <v>5966</v>
      </c>
      <c r="J830" s="1442">
        <v>46243</v>
      </c>
      <c r="K830" s="1442">
        <v>46287</v>
      </c>
      <c r="L830" s="1442">
        <v>46289.625</v>
      </c>
      <c r="M830" s="1442"/>
      <c r="N830" t="s">
        <v>2434</v>
      </c>
      <c r="O830" s="1442">
        <v>46303</v>
      </c>
      <c r="P830" s="1442">
        <v>46296.625</v>
      </c>
    </row>
    <row r="831" spans="1:16">
      <c r="A831" t="s">
        <v>5738</v>
      </c>
      <c r="B831" t="s">
        <v>64</v>
      </c>
      <c r="C831" t="s">
        <v>114</v>
      </c>
      <c r="D831" t="s">
        <v>5331</v>
      </c>
      <c r="E831" t="s">
        <v>5332</v>
      </c>
      <c r="F831" t="s">
        <v>5333</v>
      </c>
      <c r="G831">
        <v>1440</v>
      </c>
      <c r="H831" t="s">
        <v>951</v>
      </c>
      <c r="I831" t="s">
        <v>5739</v>
      </c>
      <c r="J831" s="1442">
        <v>46241</v>
      </c>
      <c r="K831" s="1442">
        <v>46282</v>
      </c>
      <c r="L831" s="1442">
        <v>46300.5</v>
      </c>
      <c r="M831" s="1442" t="s">
        <v>2521</v>
      </c>
      <c r="N831" t="s">
        <v>2434</v>
      </c>
      <c r="O831" s="1442">
        <v>46303</v>
      </c>
      <c r="P831" s="1442">
        <v>46309.5</v>
      </c>
    </row>
    <row r="832" spans="1:16">
      <c r="A832" t="s">
        <v>5764</v>
      </c>
      <c r="B832" t="s">
        <v>64</v>
      </c>
      <c r="C832" t="s">
        <v>114</v>
      </c>
      <c r="D832" t="s">
        <v>5331</v>
      </c>
      <c r="E832" t="s">
        <v>5550</v>
      </c>
      <c r="F832" t="s">
        <v>5551</v>
      </c>
      <c r="G832">
        <v>720</v>
      </c>
      <c r="H832" t="s">
        <v>951</v>
      </c>
      <c r="I832" t="s">
        <v>5765</v>
      </c>
      <c r="J832" s="1442">
        <v>46245</v>
      </c>
      <c r="K832" s="1442">
        <v>46282</v>
      </c>
      <c r="L832" s="1442">
        <v>46283.833333333336</v>
      </c>
      <c r="M832" s="1442" t="s">
        <v>2521</v>
      </c>
      <c r="N832" t="s">
        <v>2434</v>
      </c>
      <c r="O832" s="1442">
        <v>46296</v>
      </c>
      <c r="P832" s="1442">
        <v>46292.833333333336</v>
      </c>
    </row>
    <row r="833" spans="1:16">
      <c r="A833" t="s">
        <v>6014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6015</v>
      </c>
      <c r="J833" s="1442">
        <v>46250</v>
      </c>
      <c r="K833" s="1442">
        <v>46298</v>
      </c>
      <c r="L833" s="1442">
        <v>46284.427083333336</v>
      </c>
      <c r="M833" s="1442" t="s">
        <v>2521</v>
      </c>
      <c r="N833" t="s">
        <v>2434</v>
      </c>
      <c r="O833" s="1442">
        <v>46303</v>
      </c>
      <c r="P833" s="1442">
        <v>46291.427083333336</v>
      </c>
    </row>
    <row r="834" spans="1:16">
      <c r="A834" t="s">
        <v>6095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6096</v>
      </c>
      <c r="J834" s="1442">
        <v>46252</v>
      </c>
      <c r="K834" s="1442">
        <v>46311</v>
      </c>
      <c r="L834" s="1442"/>
      <c r="M834" s="1442"/>
      <c r="N834" t="s">
        <v>2434</v>
      </c>
      <c r="O834" s="1442">
        <v>46315</v>
      </c>
      <c r="P834" s="1442">
        <v>46321</v>
      </c>
    </row>
    <row r="835" spans="1:16">
      <c r="A835" t="s">
        <v>6022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6023</v>
      </c>
      <c r="J835" s="1442">
        <v>46250</v>
      </c>
      <c r="K835" s="1442">
        <v>46298</v>
      </c>
      <c r="L835" s="1442">
        <v>46284.427083333336</v>
      </c>
      <c r="M835" s="1442" t="s">
        <v>2521</v>
      </c>
      <c r="N835" t="s">
        <v>2434</v>
      </c>
      <c r="O835" s="1442">
        <v>46303</v>
      </c>
      <c r="P835" s="1442">
        <v>46291.427083333336</v>
      </c>
    </row>
    <row r="836" spans="1:16">
      <c r="A836" t="s">
        <v>6100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6101</v>
      </c>
      <c r="J836" s="1442">
        <v>46252</v>
      </c>
      <c r="K836" s="1442">
        <v>46311</v>
      </c>
      <c r="L836" s="1442"/>
      <c r="M836" s="1442"/>
      <c r="N836" t="s">
        <v>2434</v>
      </c>
      <c r="O836" s="1442">
        <v>46315</v>
      </c>
      <c r="P836" s="1442">
        <v>46321</v>
      </c>
    </row>
    <row r="837" spans="1:16">
      <c r="A837" t="s">
        <v>5918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5919</v>
      </c>
      <c r="J837" s="1442">
        <v>46246</v>
      </c>
      <c r="K837" s="1442">
        <v>46288</v>
      </c>
      <c r="L837" s="1442">
        <v>46289.25</v>
      </c>
      <c r="M837" s="1442" t="s">
        <v>2521</v>
      </c>
      <c r="N837" t="s">
        <v>2434</v>
      </c>
      <c r="O837" s="1442">
        <v>46302</v>
      </c>
      <c r="P837" s="1442">
        <v>46297.25</v>
      </c>
    </row>
    <row r="838" spans="1:16">
      <c r="A838" t="s">
        <v>6056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6057</v>
      </c>
      <c r="J838" s="1442">
        <v>46254</v>
      </c>
      <c r="K838" s="1442">
        <v>46295</v>
      </c>
      <c r="L838" s="1442">
        <v>46289.25</v>
      </c>
      <c r="M838" s="1442" t="s">
        <v>2521</v>
      </c>
      <c r="N838" t="s">
        <v>2434</v>
      </c>
      <c r="O838" s="1442">
        <v>46302</v>
      </c>
      <c r="P838" s="1442">
        <v>46297.25</v>
      </c>
    </row>
    <row r="839" spans="1:16">
      <c r="A839" t="s">
        <v>6156</v>
      </c>
      <c r="B839" t="s">
        <v>64</v>
      </c>
      <c r="C839" t="s">
        <v>100</v>
      </c>
      <c r="D839" t="s">
        <v>284</v>
      </c>
      <c r="E839" t="s">
        <v>6157</v>
      </c>
      <c r="F839" t="s">
        <v>1570</v>
      </c>
      <c r="G839">
        <v>1440</v>
      </c>
      <c r="H839" t="s">
        <v>951</v>
      </c>
      <c r="I839" t="s">
        <v>6158</v>
      </c>
      <c r="J839" s="1442">
        <v>46249</v>
      </c>
      <c r="K839" s="1442">
        <v>46298</v>
      </c>
      <c r="L839" s="1442"/>
      <c r="M839" s="1442"/>
      <c r="N839" t="s">
        <v>2434</v>
      </c>
      <c r="O839" s="1442">
        <v>46305</v>
      </c>
      <c r="P839" s="1442">
        <v>46305</v>
      </c>
    </row>
    <row r="840" spans="1:16">
      <c r="A840" t="s">
        <v>6061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6062</v>
      </c>
      <c r="J840" s="1442">
        <v>46254</v>
      </c>
      <c r="K840" s="1442">
        <v>46295</v>
      </c>
      <c r="L840" s="1442">
        <v>46289.25</v>
      </c>
      <c r="M840" s="1442" t="s">
        <v>2521</v>
      </c>
      <c r="N840" t="s">
        <v>2434</v>
      </c>
      <c r="O840" s="1442">
        <v>46302</v>
      </c>
      <c r="P840" s="1442">
        <v>46297.25</v>
      </c>
    </row>
    <row r="841" spans="1:16">
      <c r="A841" t="s">
        <v>5837</v>
      </c>
      <c r="B841" t="s">
        <v>144</v>
      </c>
      <c r="C841" t="s">
        <v>145</v>
      </c>
      <c r="D841" t="s">
        <v>4526</v>
      </c>
      <c r="E841" t="s">
        <v>71</v>
      </c>
      <c r="F841" t="s">
        <v>72</v>
      </c>
      <c r="G841">
        <v>3456</v>
      </c>
      <c r="H841" t="s">
        <v>951</v>
      </c>
      <c r="I841" t="s">
        <v>5839</v>
      </c>
      <c r="J841" s="1442">
        <v>46249</v>
      </c>
      <c r="K841" s="1442">
        <v>46295</v>
      </c>
      <c r="L841" s="1442">
        <v>46300.75</v>
      </c>
      <c r="M841" s="1442"/>
      <c r="N841" t="s">
        <v>973</v>
      </c>
      <c r="O841" s="1442">
        <v>46296</v>
      </c>
      <c r="P841" s="1442">
        <v>46300.75</v>
      </c>
    </row>
    <row r="842" spans="1:16">
      <c r="A842" t="s">
        <v>6128</v>
      </c>
      <c r="B842" t="s">
        <v>64</v>
      </c>
      <c r="C842" t="s">
        <v>65</v>
      </c>
      <c r="D842" t="s">
        <v>4526</v>
      </c>
      <c r="E842" t="s">
        <v>71</v>
      </c>
      <c r="F842" t="s">
        <v>72</v>
      </c>
      <c r="G842">
        <v>864</v>
      </c>
      <c r="H842" t="s">
        <v>951</v>
      </c>
      <c r="I842" t="s">
        <v>6129</v>
      </c>
      <c r="J842" s="1442">
        <v>46249</v>
      </c>
      <c r="K842" s="1442">
        <v>46300</v>
      </c>
      <c r="L842" s="1442">
        <v>46313.791666666664</v>
      </c>
      <c r="M842" s="1442" t="s">
        <v>2521</v>
      </c>
      <c r="N842" t="s">
        <v>2434</v>
      </c>
      <c r="O842" s="1442">
        <v>46314</v>
      </c>
      <c r="P842" s="1442">
        <v>46321.791666666664</v>
      </c>
    </row>
    <row r="843" spans="1:16">
      <c r="A843" t="s">
        <v>6358</v>
      </c>
      <c r="B843" t="s">
        <v>64</v>
      </c>
      <c r="C843" t="s">
        <v>100</v>
      </c>
      <c r="D843" t="s">
        <v>4526</v>
      </c>
      <c r="E843" t="s">
        <v>1002</v>
      </c>
      <c r="F843" t="s">
        <v>330</v>
      </c>
      <c r="G843">
        <v>2880</v>
      </c>
      <c r="H843" t="s">
        <v>951</v>
      </c>
      <c r="I843" t="s">
        <v>6359</v>
      </c>
      <c r="J843" s="1442">
        <v>46253</v>
      </c>
      <c r="K843" s="1442">
        <v>46305</v>
      </c>
      <c r="L843" s="1442"/>
      <c r="M843" s="1442"/>
      <c r="N843" t="s">
        <v>2434</v>
      </c>
      <c r="O843" s="1442">
        <v>46312</v>
      </c>
      <c r="P843" s="1442">
        <v>46312</v>
      </c>
    </row>
    <row r="844" spans="1:16">
      <c r="A844" t="s">
        <v>6169</v>
      </c>
      <c r="B844" t="s">
        <v>64</v>
      </c>
      <c r="C844" t="s">
        <v>100</v>
      </c>
      <c r="D844" t="s">
        <v>4526</v>
      </c>
      <c r="E844" t="s">
        <v>1002</v>
      </c>
      <c r="F844" t="s">
        <v>330</v>
      </c>
      <c r="G844">
        <v>1440</v>
      </c>
      <c r="H844" t="s">
        <v>951</v>
      </c>
      <c r="I844" t="s">
        <v>6170</v>
      </c>
      <c r="J844" s="1442">
        <v>46249</v>
      </c>
      <c r="K844" s="1442">
        <v>46305</v>
      </c>
      <c r="L844" s="1442"/>
      <c r="M844" s="1442"/>
      <c r="N844" t="s">
        <v>2434</v>
      </c>
      <c r="O844" s="1442">
        <v>46312</v>
      </c>
      <c r="P844" s="1442">
        <v>46312</v>
      </c>
    </row>
    <row r="845" spans="1:16">
      <c r="A845" t="s">
        <v>6137</v>
      </c>
      <c r="B845" t="s">
        <v>64</v>
      </c>
      <c r="C845" t="s">
        <v>100</v>
      </c>
      <c r="D845" t="s">
        <v>4526</v>
      </c>
      <c r="E845" t="s">
        <v>1002</v>
      </c>
      <c r="F845" t="s">
        <v>330</v>
      </c>
      <c r="G845">
        <v>3600</v>
      </c>
      <c r="H845" t="s">
        <v>951</v>
      </c>
      <c r="I845" t="s">
        <v>6138</v>
      </c>
      <c r="J845" s="1442">
        <v>46253</v>
      </c>
      <c r="K845" s="1442">
        <v>46314</v>
      </c>
      <c r="L845" s="1442"/>
      <c r="M845" s="1442"/>
      <c r="N845" t="s">
        <v>2434</v>
      </c>
      <c r="O845" s="1442">
        <v>46321</v>
      </c>
      <c r="P845" s="1442">
        <v>46321</v>
      </c>
    </row>
    <row r="846" spans="1:16">
      <c r="A846" t="s">
        <v>6353</v>
      </c>
      <c r="B846" t="s">
        <v>64</v>
      </c>
      <c r="C846" t="s">
        <v>100</v>
      </c>
      <c r="D846" t="s">
        <v>4526</v>
      </c>
      <c r="E846" t="s">
        <v>1461</v>
      </c>
      <c r="F846" t="s">
        <v>103</v>
      </c>
      <c r="G846">
        <v>1440</v>
      </c>
      <c r="H846" t="s">
        <v>951</v>
      </c>
      <c r="I846" t="s">
        <v>6354</v>
      </c>
      <c r="J846" s="1442">
        <v>46253</v>
      </c>
      <c r="K846" s="1442">
        <v>46305</v>
      </c>
      <c r="L846" s="1442"/>
      <c r="M846" s="1442"/>
      <c r="N846" t="s">
        <v>2434</v>
      </c>
      <c r="O846" s="1442">
        <v>46312</v>
      </c>
      <c r="P846" s="1442">
        <v>46312</v>
      </c>
    </row>
    <row r="847" spans="1:16">
      <c r="A847" t="s">
        <v>6159</v>
      </c>
      <c r="B847" t="s">
        <v>64</v>
      </c>
      <c r="C847" t="s">
        <v>100</v>
      </c>
      <c r="D847" t="s">
        <v>4526</v>
      </c>
      <c r="E847" t="s">
        <v>965</v>
      </c>
      <c r="F847" t="s">
        <v>966</v>
      </c>
      <c r="G847">
        <v>2808</v>
      </c>
      <c r="H847" t="s">
        <v>951</v>
      </c>
      <c r="I847" t="s">
        <v>6160</v>
      </c>
      <c r="J847" s="1442">
        <v>46249</v>
      </c>
      <c r="K847" s="1442">
        <v>46305</v>
      </c>
      <c r="L847" s="1442"/>
      <c r="M847" s="1442"/>
      <c r="N847" t="s">
        <v>2434</v>
      </c>
      <c r="O847" s="1442">
        <v>46312</v>
      </c>
      <c r="P847" s="1442">
        <v>46312</v>
      </c>
    </row>
    <row r="848" spans="1:16">
      <c r="A848" t="s">
        <v>6390</v>
      </c>
      <c r="B848" t="s">
        <v>64</v>
      </c>
      <c r="C848" t="s">
        <v>100</v>
      </c>
      <c r="D848" t="s">
        <v>4526</v>
      </c>
      <c r="E848" t="s">
        <v>965</v>
      </c>
      <c r="F848" t="s">
        <v>966</v>
      </c>
      <c r="G848">
        <v>5616</v>
      </c>
      <c r="H848" t="s">
        <v>951</v>
      </c>
      <c r="I848" t="s">
        <v>6391</v>
      </c>
      <c r="J848" s="1442">
        <v>46253</v>
      </c>
      <c r="K848" s="1442">
        <v>46313</v>
      </c>
      <c r="L848" s="1442"/>
      <c r="M848" s="1442"/>
      <c r="N848" t="s">
        <v>2434</v>
      </c>
      <c r="O848" s="1442">
        <v>46304</v>
      </c>
      <c r="P848" s="1442">
        <v>46320</v>
      </c>
    </row>
    <row r="849" spans="1:16">
      <c r="A849" t="s">
        <v>6125</v>
      </c>
      <c r="B849" t="s">
        <v>64</v>
      </c>
      <c r="C849" t="s">
        <v>100</v>
      </c>
      <c r="D849" t="s">
        <v>4526</v>
      </c>
      <c r="E849" t="s">
        <v>195</v>
      </c>
      <c r="F849" t="s">
        <v>196</v>
      </c>
      <c r="G849">
        <v>4680</v>
      </c>
      <c r="H849" t="s">
        <v>951</v>
      </c>
      <c r="I849" t="s">
        <v>6127</v>
      </c>
      <c r="J849" s="1442">
        <v>46249</v>
      </c>
      <c r="K849" s="1442">
        <v>46292</v>
      </c>
      <c r="L849" s="1442"/>
      <c r="M849" s="1442"/>
      <c r="N849" t="s">
        <v>2434</v>
      </c>
      <c r="O849" s="1442">
        <v>46309</v>
      </c>
      <c r="P849" s="1442">
        <v>46299</v>
      </c>
    </row>
    <row r="850" spans="1:16">
      <c r="A850" t="s">
        <v>6123</v>
      </c>
      <c r="B850" t="s">
        <v>64</v>
      </c>
      <c r="C850" t="s">
        <v>100</v>
      </c>
      <c r="D850" t="s">
        <v>4526</v>
      </c>
      <c r="E850" t="s">
        <v>195</v>
      </c>
      <c r="F850" t="s">
        <v>196</v>
      </c>
      <c r="G850">
        <v>2808</v>
      </c>
      <c r="H850" t="s">
        <v>951</v>
      </c>
      <c r="I850" t="s">
        <v>6124</v>
      </c>
      <c r="J850" s="1442">
        <v>46249</v>
      </c>
      <c r="K850" s="1442">
        <v>46292</v>
      </c>
      <c r="L850" s="1442"/>
      <c r="M850" s="1442"/>
      <c r="N850" t="s">
        <v>2434</v>
      </c>
      <c r="O850" s="1442">
        <v>46309</v>
      </c>
      <c r="P850" s="1442">
        <v>46299</v>
      </c>
    </row>
    <row r="851" spans="1:16">
      <c r="A851" t="s">
        <v>6119</v>
      </c>
      <c r="B851" t="s">
        <v>64</v>
      </c>
      <c r="C851" t="s">
        <v>100</v>
      </c>
      <c r="D851" t="s">
        <v>4526</v>
      </c>
      <c r="E851" t="s">
        <v>195</v>
      </c>
      <c r="F851" t="s">
        <v>196</v>
      </c>
      <c r="G851">
        <v>1872</v>
      </c>
      <c r="H851" t="s">
        <v>951</v>
      </c>
      <c r="I851" t="s">
        <v>6120</v>
      </c>
      <c r="J851" s="1442">
        <v>46249</v>
      </c>
      <c r="K851" s="1442">
        <v>46292</v>
      </c>
      <c r="L851" s="1442"/>
      <c r="M851" s="1442"/>
      <c r="N851" t="s">
        <v>2434</v>
      </c>
      <c r="O851" s="1442">
        <v>46309</v>
      </c>
      <c r="P851" s="1442">
        <v>46299</v>
      </c>
    </row>
    <row r="852" spans="1:16">
      <c r="A852" t="s">
        <v>6117</v>
      </c>
      <c r="B852" t="s">
        <v>64</v>
      </c>
      <c r="C852" t="s">
        <v>100</v>
      </c>
      <c r="D852" t="s">
        <v>4526</v>
      </c>
      <c r="E852" t="s">
        <v>195</v>
      </c>
      <c r="F852" t="s">
        <v>196</v>
      </c>
      <c r="G852">
        <v>936</v>
      </c>
      <c r="H852" t="s">
        <v>951</v>
      </c>
      <c r="I852" t="s">
        <v>6118</v>
      </c>
      <c r="J852" s="1442">
        <v>46249</v>
      </c>
      <c r="K852" s="1442">
        <v>46292</v>
      </c>
      <c r="L852" s="1442"/>
      <c r="M852" s="1442"/>
      <c r="N852" t="s">
        <v>2434</v>
      </c>
      <c r="O852" s="1442">
        <v>46309</v>
      </c>
      <c r="P852" s="1442">
        <v>46299</v>
      </c>
    </row>
    <row r="853" spans="1:16">
      <c r="A853" t="s">
        <v>6114</v>
      </c>
      <c r="B853" t="s">
        <v>64</v>
      </c>
      <c r="C853" t="s">
        <v>100</v>
      </c>
      <c r="D853" t="s">
        <v>4526</v>
      </c>
      <c r="E853" t="s">
        <v>195</v>
      </c>
      <c r="F853" t="s">
        <v>196</v>
      </c>
      <c r="G853">
        <v>3744</v>
      </c>
      <c r="H853" t="s">
        <v>951</v>
      </c>
      <c r="I853" t="s">
        <v>6116</v>
      </c>
      <c r="J853" s="1442">
        <v>46249</v>
      </c>
      <c r="K853" s="1442">
        <v>46292</v>
      </c>
      <c r="L853" s="1442"/>
      <c r="M853" s="1442"/>
      <c r="N853" t="s">
        <v>2434</v>
      </c>
      <c r="O853" s="1442">
        <v>46309</v>
      </c>
      <c r="P853" s="1442">
        <v>46299</v>
      </c>
    </row>
    <row r="854" spans="1:16">
      <c r="A854" t="s">
        <v>6107</v>
      </c>
      <c r="B854" t="s">
        <v>64</v>
      </c>
      <c r="C854" t="s">
        <v>100</v>
      </c>
      <c r="D854" t="s">
        <v>4526</v>
      </c>
      <c r="E854" t="s">
        <v>195</v>
      </c>
      <c r="F854" t="s">
        <v>196</v>
      </c>
      <c r="G854">
        <v>3744</v>
      </c>
      <c r="H854" t="s">
        <v>951</v>
      </c>
      <c r="I854" t="s">
        <v>6109</v>
      </c>
      <c r="J854" s="1442">
        <v>46249</v>
      </c>
      <c r="K854" s="1442">
        <v>46292</v>
      </c>
      <c r="L854" s="1442"/>
      <c r="M854" s="1442"/>
      <c r="N854" t="s">
        <v>2434</v>
      </c>
      <c r="O854" s="1442">
        <v>46309</v>
      </c>
      <c r="P854" s="1442">
        <v>46299</v>
      </c>
    </row>
    <row r="855" spans="1:16">
      <c r="A855" t="s">
        <v>6165</v>
      </c>
      <c r="B855" t="s">
        <v>64</v>
      </c>
      <c r="C855" t="s">
        <v>100</v>
      </c>
      <c r="D855" t="s">
        <v>4526</v>
      </c>
      <c r="E855" t="s">
        <v>195</v>
      </c>
      <c r="F855" t="s">
        <v>196</v>
      </c>
      <c r="G855">
        <v>2808</v>
      </c>
      <c r="H855" t="s">
        <v>951</v>
      </c>
      <c r="I855" t="s">
        <v>6166</v>
      </c>
      <c r="J855" s="1442">
        <v>46249</v>
      </c>
      <c r="K855" s="1442">
        <v>46305</v>
      </c>
      <c r="L855" s="1442"/>
      <c r="M855" s="1442"/>
      <c r="N855" t="s">
        <v>2434</v>
      </c>
      <c r="O855" s="1442">
        <v>46312</v>
      </c>
      <c r="P855" s="1442">
        <v>46312</v>
      </c>
    </row>
    <row r="856" spans="1:16">
      <c r="A856" t="s">
        <v>6154</v>
      </c>
      <c r="B856" t="s">
        <v>64</v>
      </c>
      <c r="C856" t="s">
        <v>100</v>
      </c>
      <c r="D856" t="s">
        <v>4526</v>
      </c>
      <c r="E856" t="s">
        <v>195</v>
      </c>
      <c r="F856" t="s">
        <v>196</v>
      </c>
      <c r="G856">
        <v>936</v>
      </c>
      <c r="H856" t="s">
        <v>951</v>
      </c>
      <c r="I856" t="s">
        <v>6155</v>
      </c>
      <c r="J856" s="1442">
        <v>46249</v>
      </c>
      <c r="K856" s="1442">
        <v>46298</v>
      </c>
      <c r="L856" s="1442"/>
      <c r="M856" s="1442"/>
      <c r="N856" t="s">
        <v>2434</v>
      </c>
      <c r="O856" s="1442">
        <v>46305</v>
      </c>
      <c r="P856" s="1442">
        <v>46305</v>
      </c>
    </row>
    <row r="857" spans="1:16">
      <c r="A857" t="s">
        <v>6152</v>
      </c>
      <c r="B857" t="s">
        <v>64</v>
      </c>
      <c r="C857" t="s">
        <v>100</v>
      </c>
      <c r="D857" t="s">
        <v>4526</v>
      </c>
      <c r="E857" t="s">
        <v>195</v>
      </c>
      <c r="F857" t="s">
        <v>196</v>
      </c>
      <c r="G857">
        <v>4680</v>
      </c>
      <c r="H857" t="s">
        <v>951</v>
      </c>
      <c r="I857" t="s">
        <v>6153</v>
      </c>
      <c r="J857" s="1442">
        <v>46249</v>
      </c>
      <c r="K857" s="1442">
        <v>46298</v>
      </c>
      <c r="L857" s="1442"/>
      <c r="M857" s="1442"/>
      <c r="N857" t="s">
        <v>2434</v>
      </c>
      <c r="O857" s="1442">
        <v>46305</v>
      </c>
      <c r="P857" s="1442">
        <v>46305</v>
      </c>
    </row>
    <row r="858" spans="1:16">
      <c r="A858" t="s">
        <v>6147</v>
      </c>
      <c r="B858" t="s">
        <v>64</v>
      </c>
      <c r="C858" t="s">
        <v>100</v>
      </c>
      <c r="D858" t="s">
        <v>4526</v>
      </c>
      <c r="E858" t="s">
        <v>195</v>
      </c>
      <c r="F858" t="s">
        <v>196</v>
      </c>
      <c r="G858">
        <v>3744</v>
      </c>
      <c r="H858" t="s">
        <v>951</v>
      </c>
      <c r="I858" t="s">
        <v>6148</v>
      </c>
      <c r="J858" s="1442">
        <v>46249</v>
      </c>
      <c r="K858" s="1442">
        <v>46298</v>
      </c>
      <c r="L858" s="1442"/>
      <c r="M858" s="1442"/>
      <c r="N858" t="s">
        <v>2434</v>
      </c>
      <c r="O858" s="1442">
        <v>46305</v>
      </c>
      <c r="P858" s="1442">
        <v>46305</v>
      </c>
    </row>
    <row r="859" spans="1:16">
      <c r="A859" t="s">
        <v>5993</v>
      </c>
      <c r="B859" t="s">
        <v>64</v>
      </c>
      <c r="C859" t="s">
        <v>65</v>
      </c>
      <c r="D859" t="s">
        <v>4526</v>
      </c>
      <c r="E859" t="s">
        <v>1151</v>
      </c>
      <c r="F859" t="s">
        <v>421</v>
      </c>
      <c r="G859">
        <v>864</v>
      </c>
      <c r="H859" t="s">
        <v>951</v>
      </c>
      <c r="I859" t="s">
        <v>5994</v>
      </c>
      <c r="J859" s="1442">
        <v>46248</v>
      </c>
      <c r="K859" s="1442">
        <v>46288</v>
      </c>
      <c r="L859" s="1442">
        <v>46297.75</v>
      </c>
      <c r="M859" s="1442" t="s">
        <v>2521</v>
      </c>
      <c r="N859" t="s">
        <v>2434</v>
      </c>
      <c r="O859" s="1442">
        <v>46309</v>
      </c>
      <c r="P859" s="1442">
        <v>46305.75</v>
      </c>
    </row>
    <row r="860" spans="1:16">
      <c r="A860" t="s">
        <v>6142</v>
      </c>
      <c r="B860" t="s">
        <v>64</v>
      </c>
      <c r="C860" t="s">
        <v>100</v>
      </c>
      <c r="D860" t="s">
        <v>4526</v>
      </c>
      <c r="E860" t="s">
        <v>195</v>
      </c>
      <c r="F860" t="s">
        <v>196</v>
      </c>
      <c r="G860">
        <v>3744</v>
      </c>
      <c r="H860" t="s">
        <v>951</v>
      </c>
      <c r="I860" t="s">
        <v>6143</v>
      </c>
      <c r="J860" s="1442">
        <v>46246</v>
      </c>
      <c r="K860" s="1442">
        <v>46307</v>
      </c>
      <c r="L860" s="1442"/>
      <c r="M860" s="1442"/>
      <c r="N860" t="s">
        <v>2434</v>
      </c>
      <c r="O860" s="1442">
        <v>46311</v>
      </c>
      <c r="P860" s="1442">
        <v>46314</v>
      </c>
    </row>
    <row r="861" spans="1:16">
      <c r="A861" t="s">
        <v>5988</v>
      </c>
      <c r="B861" t="s">
        <v>64</v>
      </c>
      <c r="C861" t="s">
        <v>100</v>
      </c>
      <c r="D861" t="s">
        <v>4526</v>
      </c>
      <c r="E861" t="s">
        <v>1151</v>
      </c>
      <c r="F861" t="s">
        <v>421</v>
      </c>
      <c r="G861">
        <v>864</v>
      </c>
      <c r="H861" t="s">
        <v>951</v>
      </c>
      <c r="I861" t="s">
        <v>5989</v>
      </c>
      <c r="J861" s="1442">
        <v>46246</v>
      </c>
      <c r="K861" s="1442">
        <v>46281</v>
      </c>
      <c r="L861" s="1442">
        <v>46295.875</v>
      </c>
      <c r="M861" s="1442" t="s">
        <v>2521</v>
      </c>
      <c r="N861" t="s">
        <v>2434</v>
      </c>
      <c r="O861" s="1442">
        <v>46309</v>
      </c>
      <c r="P861" s="1442">
        <v>46302.875</v>
      </c>
    </row>
    <row r="862" spans="1:16">
      <c r="A862" t="s">
        <v>5983</v>
      </c>
      <c r="B862" t="s">
        <v>64</v>
      </c>
      <c r="C862" t="s">
        <v>100</v>
      </c>
      <c r="D862" t="s">
        <v>4526</v>
      </c>
      <c r="E862" t="s">
        <v>1151</v>
      </c>
      <c r="F862" t="s">
        <v>421</v>
      </c>
      <c r="G862">
        <v>864</v>
      </c>
      <c r="H862" t="s">
        <v>951</v>
      </c>
      <c r="I862" t="s">
        <v>5984</v>
      </c>
      <c r="J862" s="1442">
        <v>46246</v>
      </c>
      <c r="K862" s="1442">
        <v>46281</v>
      </c>
      <c r="L862" s="1442">
        <v>46295.875</v>
      </c>
      <c r="M862" s="1442" t="s">
        <v>2521</v>
      </c>
      <c r="N862" t="s">
        <v>2434</v>
      </c>
      <c r="O862" s="1442">
        <v>46309</v>
      </c>
      <c r="P862" s="1442">
        <v>46302.875</v>
      </c>
    </row>
    <row r="863" spans="1:16">
      <c r="A863" t="s">
        <v>6300</v>
      </c>
      <c r="B863" t="s">
        <v>144</v>
      </c>
      <c r="C863" t="s">
        <v>145</v>
      </c>
      <c r="D863" t="s">
        <v>4526</v>
      </c>
      <c r="E863" t="s">
        <v>1151</v>
      </c>
      <c r="F863" t="s">
        <v>421</v>
      </c>
      <c r="G863">
        <v>864</v>
      </c>
      <c r="H863" t="s">
        <v>951</v>
      </c>
      <c r="I863" t="s">
        <v>6301</v>
      </c>
      <c r="J863" s="1442">
        <v>46251</v>
      </c>
      <c r="K863" s="1442">
        <v>46295</v>
      </c>
      <c r="L863" s="1442">
        <v>46297.75</v>
      </c>
      <c r="M863" s="1442" t="s">
        <v>2521</v>
      </c>
      <c r="N863" t="s">
        <v>973</v>
      </c>
      <c r="O863" s="1442">
        <v>46295</v>
      </c>
      <c r="P863" s="1442">
        <v>46297.75</v>
      </c>
    </row>
    <row r="864" spans="1:16">
      <c r="A864" t="s">
        <v>6024</v>
      </c>
      <c r="B864" t="s">
        <v>64</v>
      </c>
      <c r="C864" t="s">
        <v>100</v>
      </c>
      <c r="D864" t="s">
        <v>4526</v>
      </c>
      <c r="E864" t="s">
        <v>5052</v>
      </c>
      <c r="F864" t="s">
        <v>1484</v>
      </c>
      <c r="G864">
        <v>594</v>
      </c>
      <c r="H864" t="s">
        <v>951</v>
      </c>
      <c r="I864" t="s">
        <v>6025</v>
      </c>
      <c r="J864" s="1442">
        <v>46250</v>
      </c>
      <c r="K864" s="1442">
        <v>46298</v>
      </c>
      <c r="L864" s="1442">
        <v>46284.427083333336</v>
      </c>
      <c r="M864" s="1442" t="s">
        <v>2521</v>
      </c>
      <c r="N864" t="s">
        <v>2434</v>
      </c>
      <c r="O864" s="1442">
        <v>46300</v>
      </c>
      <c r="P864" s="1442">
        <v>46291.427083333336</v>
      </c>
    </row>
    <row r="865" spans="1:16">
      <c r="A865" t="s">
        <v>6028</v>
      </c>
      <c r="B865" t="s">
        <v>64</v>
      </c>
      <c r="C865" t="s">
        <v>100</v>
      </c>
      <c r="D865" t="s">
        <v>4526</v>
      </c>
      <c r="E865" t="s">
        <v>5052</v>
      </c>
      <c r="F865" t="s">
        <v>1484</v>
      </c>
      <c r="G865">
        <v>594</v>
      </c>
      <c r="H865" t="s">
        <v>951</v>
      </c>
      <c r="I865" t="s">
        <v>6029</v>
      </c>
      <c r="J865" s="1442">
        <v>46250</v>
      </c>
      <c r="K865" s="1442">
        <v>46298</v>
      </c>
      <c r="L865" s="1442">
        <v>46284.427083333336</v>
      </c>
      <c r="M865" s="1442" t="s">
        <v>2521</v>
      </c>
      <c r="N865" t="s">
        <v>2434</v>
      </c>
      <c r="O865" s="1442">
        <v>46300</v>
      </c>
      <c r="P865" s="1442">
        <v>46291.427083333336</v>
      </c>
    </row>
    <row r="866" spans="1:16">
      <c r="A866" t="s">
        <v>6048</v>
      </c>
      <c r="B866" t="s">
        <v>64</v>
      </c>
      <c r="C866" t="s">
        <v>100</v>
      </c>
      <c r="D866" t="s">
        <v>4526</v>
      </c>
      <c r="E866" t="s">
        <v>5036</v>
      </c>
      <c r="F866" t="s">
        <v>1807</v>
      </c>
      <c r="G866">
        <v>1782</v>
      </c>
      <c r="H866" t="s">
        <v>951</v>
      </c>
      <c r="I866" t="s">
        <v>6049</v>
      </c>
      <c r="J866" s="1442">
        <v>46249</v>
      </c>
      <c r="K866" s="1442">
        <v>46282</v>
      </c>
      <c r="L866" s="1442">
        <v>46284.427083333336</v>
      </c>
      <c r="M866" s="1442" t="s">
        <v>2521</v>
      </c>
      <c r="N866" t="s">
        <v>2434</v>
      </c>
      <c r="O866" s="1442">
        <v>46300</v>
      </c>
      <c r="P866" s="1442">
        <v>46291.427083333336</v>
      </c>
    </row>
    <row r="867" spans="1:16">
      <c r="A867" t="s">
        <v>5831</v>
      </c>
      <c r="B867" t="s">
        <v>144</v>
      </c>
      <c r="C867" t="s">
        <v>145</v>
      </c>
      <c r="D867" t="s">
        <v>4526</v>
      </c>
      <c r="E867" t="s">
        <v>4592</v>
      </c>
      <c r="F867" t="s">
        <v>4593</v>
      </c>
      <c r="G867">
        <v>720</v>
      </c>
      <c r="H867" t="s">
        <v>951</v>
      </c>
      <c r="I867" t="s">
        <v>5832</v>
      </c>
      <c r="J867" s="1442">
        <v>46248</v>
      </c>
      <c r="K867" s="1442">
        <v>46308</v>
      </c>
      <c r="L867" s="1442">
        <v>46315</v>
      </c>
      <c r="M867" s="1442"/>
      <c r="N867" t="s">
        <v>973</v>
      </c>
      <c r="O867" s="1442">
        <v>46315</v>
      </c>
      <c r="P867" s="1442">
        <v>46315</v>
      </c>
    </row>
    <row r="868" spans="1:16">
      <c r="A868" t="s">
        <v>6030</v>
      </c>
      <c r="B868" t="s">
        <v>64</v>
      </c>
      <c r="C868" t="s">
        <v>100</v>
      </c>
      <c r="D868" t="s">
        <v>4526</v>
      </c>
      <c r="E868" t="s">
        <v>4587</v>
      </c>
      <c r="F868" t="s">
        <v>330</v>
      </c>
      <c r="G868">
        <v>720</v>
      </c>
      <c r="H868" t="s">
        <v>951</v>
      </c>
      <c r="I868" t="s">
        <v>6031</v>
      </c>
      <c r="J868" s="1442">
        <v>46250</v>
      </c>
      <c r="K868" s="1442">
        <v>46298</v>
      </c>
      <c r="L868" s="1442">
        <v>46284.427083333336</v>
      </c>
      <c r="M868" s="1442" t="s">
        <v>2521</v>
      </c>
      <c r="N868" t="s">
        <v>2434</v>
      </c>
      <c r="O868" s="1442">
        <v>46300</v>
      </c>
      <c r="P868" s="1442">
        <v>46291.427083333336</v>
      </c>
    </row>
    <row r="869" spans="1:16">
      <c r="A869" t="s">
        <v>6019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6021</v>
      </c>
      <c r="J869" s="1442">
        <v>46250</v>
      </c>
      <c r="K869" s="1442">
        <v>46298</v>
      </c>
      <c r="L869" s="1442">
        <v>46284.427083333336</v>
      </c>
      <c r="M869" s="1442" t="s">
        <v>2521</v>
      </c>
      <c r="N869" t="s">
        <v>2434</v>
      </c>
      <c r="O869" s="1442">
        <v>46303</v>
      </c>
      <c r="P869" s="1442">
        <v>46291.427083333336</v>
      </c>
    </row>
    <row r="870" spans="1:16">
      <c r="A870" t="s">
        <v>5923</v>
      </c>
      <c r="B870" t="s">
        <v>144</v>
      </c>
      <c r="C870" t="s">
        <v>145</v>
      </c>
      <c r="D870" t="s">
        <v>5331</v>
      </c>
      <c r="E870" t="s">
        <v>5332</v>
      </c>
      <c r="F870" t="s">
        <v>5333</v>
      </c>
      <c r="G870">
        <v>2160</v>
      </c>
      <c r="H870" t="s">
        <v>951</v>
      </c>
      <c r="I870" t="s">
        <v>5924</v>
      </c>
      <c r="J870" s="1442">
        <v>46246</v>
      </c>
      <c r="K870" s="1442">
        <v>46282</v>
      </c>
      <c r="L870" s="1442">
        <v>46284.083333333336</v>
      </c>
      <c r="M870" s="1442" t="s">
        <v>2521</v>
      </c>
      <c r="N870" t="s">
        <v>973</v>
      </c>
      <c r="O870" s="1442">
        <v>46282</v>
      </c>
      <c r="P870" s="1442">
        <v>46284.083333333336</v>
      </c>
    </row>
    <row r="871" spans="1:16">
      <c r="A871" t="s">
        <v>5844</v>
      </c>
      <c r="B871" t="s">
        <v>64</v>
      </c>
      <c r="C871" t="s">
        <v>450</v>
      </c>
      <c r="D871" t="s">
        <v>284</v>
      </c>
      <c r="E871" t="s">
        <v>5846</v>
      </c>
      <c r="F871" t="s">
        <v>5847</v>
      </c>
      <c r="G871">
        <v>936</v>
      </c>
      <c r="H871" t="s">
        <v>951</v>
      </c>
      <c r="I871" t="s">
        <v>5849</v>
      </c>
      <c r="J871" s="1442">
        <v>46249</v>
      </c>
      <c r="K871" s="1442">
        <v>46285</v>
      </c>
      <c r="L871" s="1442">
        <v>46290.458333333336</v>
      </c>
      <c r="M871" s="1442" t="s">
        <v>2521</v>
      </c>
      <c r="N871" t="s">
        <v>2434</v>
      </c>
      <c r="O871" s="1442">
        <v>46303</v>
      </c>
      <c r="P871" s="1442">
        <v>46297.458333333336</v>
      </c>
    </row>
    <row r="872" spans="1:16">
      <c r="A872" t="s">
        <v>5990</v>
      </c>
      <c r="B872" t="s">
        <v>64</v>
      </c>
      <c r="C872" t="s">
        <v>100</v>
      </c>
      <c r="D872" t="s">
        <v>284</v>
      </c>
      <c r="E872" t="s">
        <v>5846</v>
      </c>
      <c r="F872" t="s">
        <v>5847</v>
      </c>
      <c r="G872">
        <v>936</v>
      </c>
      <c r="H872" t="s">
        <v>951</v>
      </c>
      <c r="I872" t="s">
        <v>5991</v>
      </c>
      <c r="J872" s="1442">
        <v>46246</v>
      </c>
      <c r="K872" s="1442">
        <v>46281</v>
      </c>
      <c r="L872" s="1442">
        <v>46295.875</v>
      </c>
      <c r="M872" s="1442" t="s">
        <v>2521</v>
      </c>
      <c r="N872" t="s">
        <v>2434</v>
      </c>
      <c r="O872" s="1442">
        <v>46309</v>
      </c>
      <c r="P872" s="1442">
        <v>46302.875</v>
      </c>
    </row>
    <row r="873" spans="1:16">
      <c r="A873" t="s">
        <v>6102</v>
      </c>
      <c r="B873" t="s">
        <v>64</v>
      </c>
      <c r="C873" t="s">
        <v>100</v>
      </c>
      <c r="D873" t="s">
        <v>284</v>
      </c>
      <c r="E873" t="s">
        <v>5846</v>
      </c>
      <c r="F873" t="s">
        <v>5847</v>
      </c>
      <c r="G873">
        <v>4680</v>
      </c>
      <c r="H873" t="s">
        <v>951</v>
      </c>
      <c r="I873" t="s">
        <v>6103</v>
      </c>
      <c r="J873" s="1442">
        <v>46248</v>
      </c>
      <c r="K873" s="1442">
        <v>46281</v>
      </c>
      <c r="L873" s="1442">
        <v>46289.625</v>
      </c>
      <c r="M873" s="1442" t="s">
        <v>2521</v>
      </c>
      <c r="N873" t="s">
        <v>2434</v>
      </c>
      <c r="O873" s="1442">
        <v>46303</v>
      </c>
      <c r="P873" s="1442">
        <v>46296.625</v>
      </c>
    </row>
    <row r="874" spans="1:16">
      <c r="A874" t="s">
        <v>5328</v>
      </c>
      <c r="B874" t="s">
        <v>64</v>
      </c>
      <c r="C874" t="s">
        <v>114</v>
      </c>
      <c r="D874" t="s">
        <v>5331</v>
      </c>
      <c r="E874" t="s">
        <v>5332</v>
      </c>
      <c r="F874" t="s">
        <v>5333</v>
      </c>
      <c r="G874">
        <v>3600</v>
      </c>
      <c r="H874" t="s">
        <v>75</v>
      </c>
      <c r="I874" t="s">
        <v>5335</v>
      </c>
      <c r="J874" s="1442">
        <v>46217</v>
      </c>
      <c r="K874" s="1442">
        <v>46254</v>
      </c>
      <c r="L874" s="1442">
        <v>46267.791666666664</v>
      </c>
      <c r="M874" s="1442">
        <v>46268.28087962963</v>
      </c>
      <c r="N874" t="s">
        <v>2434</v>
      </c>
      <c r="O874" s="1442">
        <v>46267</v>
      </c>
      <c r="P874" s="1442">
        <v>46277.28087962963</v>
      </c>
    </row>
    <row r="875" spans="1:16">
      <c r="A875" t="s">
        <v>6002</v>
      </c>
      <c r="B875" t="s">
        <v>144</v>
      </c>
      <c r="C875" t="s">
        <v>145</v>
      </c>
      <c r="D875" t="s">
        <v>5374</v>
      </c>
      <c r="E875" t="s">
        <v>5395</v>
      </c>
      <c r="F875" t="s">
        <v>5396</v>
      </c>
      <c r="G875">
        <v>936</v>
      </c>
      <c r="H875" t="s">
        <v>951</v>
      </c>
      <c r="I875" t="s">
        <v>6003</v>
      </c>
      <c r="J875" s="1442">
        <v>46253</v>
      </c>
      <c r="K875" s="1442">
        <v>46287</v>
      </c>
      <c r="L875" s="1442">
        <v>46287</v>
      </c>
      <c r="M875" s="1442"/>
      <c r="N875" t="s">
        <v>973</v>
      </c>
      <c r="O875" s="1442">
        <v>46287</v>
      </c>
      <c r="P875" s="1442">
        <v>46287</v>
      </c>
    </row>
    <row r="876" spans="1:16">
      <c r="A876" t="s">
        <v>6205</v>
      </c>
      <c r="B876" t="s">
        <v>144</v>
      </c>
      <c r="C876" t="s">
        <v>145</v>
      </c>
      <c r="D876" t="s">
        <v>4526</v>
      </c>
      <c r="E876" t="s">
        <v>6207</v>
      </c>
      <c r="F876" t="s">
        <v>330</v>
      </c>
      <c r="G876">
        <v>4320</v>
      </c>
      <c r="H876" t="s">
        <v>951</v>
      </c>
      <c r="I876" t="s">
        <v>6209</v>
      </c>
      <c r="J876" s="1442">
        <v>46256</v>
      </c>
      <c r="K876" s="1442">
        <v>46305</v>
      </c>
      <c r="L876" s="1442">
        <v>46305.791666666664</v>
      </c>
      <c r="M876" s="1442" t="s">
        <v>2521</v>
      </c>
      <c r="N876" t="s">
        <v>973</v>
      </c>
      <c r="O876" s="1442">
        <v>46305</v>
      </c>
      <c r="P876" s="1442">
        <v>46305.791666666664</v>
      </c>
    </row>
    <row r="877" spans="1:16">
      <c r="A877" t="s">
        <v>6366</v>
      </c>
      <c r="B877" t="s">
        <v>144</v>
      </c>
      <c r="C877" t="s">
        <v>145</v>
      </c>
      <c r="D877" t="s">
        <v>4526</v>
      </c>
      <c r="E877" t="s">
        <v>1151</v>
      </c>
      <c r="F877" t="s">
        <v>421</v>
      </c>
      <c r="G877">
        <v>1728</v>
      </c>
      <c r="H877" t="s">
        <v>951</v>
      </c>
      <c r="I877" t="s">
        <v>6368</v>
      </c>
      <c r="J877" s="1442">
        <v>46258</v>
      </c>
      <c r="K877" s="1442">
        <v>46316</v>
      </c>
      <c r="L877" s="1442">
        <v>46316.25</v>
      </c>
      <c r="M877" s="1442" t="s">
        <v>2521</v>
      </c>
      <c r="N877" t="s">
        <v>973</v>
      </c>
      <c r="O877" s="1442">
        <v>46316</v>
      </c>
      <c r="P877" s="1442">
        <v>46316.25</v>
      </c>
    </row>
    <row r="878" spans="1:16">
      <c r="A878" t="s">
        <v>5933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5934</v>
      </c>
      <c r="J878" s="1442">
        <v>46249</v>
      </c>
      <c r="K878" s="1442">
        <v>46295</v>
      </c>
      <c r="L878" s="1442"/>
      <c r="M878" s="1442"/>
      <c r="N878" t="s">
        <v>2434</v>
      </c>
      <c r="O878" s="1442">
        <v>46309</v>
      </c>
      <c r="P878" s="1442">
        <v>46303</v>
      </c>
    </row>
    <row r="879" spans="1:16">
      <c r="A879" t="s">
        <v>6063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6064</v>
      </c>
      <c r="J879" s="1442">
        <v>46259</v>
      </c>
      <c r="K879" s="1442">
        <v>46307</v>
      </c>
      <c r="L879" s="1442">
        <v>46317.75</v>
      </c>
      <c r="M879" s="1442" t="s">
        <v>2521</v>
      </c>
      <c r="N879" t="s">
        <v>2434</v>
      </c>
      <c r="O879" s="1442">
        <v>46316</v>
      </c>
      <c r="P879" s="1442">
        <v>46325.75</v>
      </c>
    </row>
    <row r="880" spans="1:16">
      <c r="A880" t="s">
        <v>6237</v>
      </c>
      <c r="B880" t="s">
        <v>144</v>
      </c>
      <c r="C880" t="s">
        <v>145</v>
      </c>
      <c r="D880" t="s">
        <v>4526</v>
      </c>
      <c r="E880" t="s">
        <v>6207</v>
      </c>
      <c r="F880" t="s">
        <v>330</v>
      </c>
      <c r="G880">
        <v>3600</v>
      </c>
      <c r="H880" t="s">
        <v>951</v>
      </c>
      <c r="I880" t="s">
        <v>6239</v>
      </c>
      <c r="J880" s="1442">
        <v>46257</v>
      </c>
      <c r="K880" s="1442">
        <v>46298</v>
      </c>
      <c r="L880" s="1442"/>
      <c r="M880" s="1442"/>
      <c r="N880" t="s">
        <v>973</v>
      </c>
      <c r="O880" s="1442">
        <v>46298</v>
      </c>
      <c r="P880" s="1442">
        <v>46298</v>
      </c>
    </row>
    <row r="881" spans="1:16">
      <c r="A881" t="s">
        <v>5944</v>
      </c>
      <c r="B881" t="s">
        <v>64</v>
      </c>
      <c r="C881" t="s">
        <v>65</v>
      </c>
      <c r="D881" t="s">
        <v>4526</v>
      </c>
      <c r="E881" t="s">
        <v>71</v>
      </c>
      <c r="F881" t="s">
        <v>72</v>
      </c>
      <c r="G881">
        <v>5184</v>
      </c>
      <c r="H881" t="s">
        <v>951</v>
      </c>
      <c r="I881" t="s">
        <v>5945</v>
      </c>
      <c r="J881" s="1442">
        <v>46249</v>
      </c>
      <c r="K881" s="1442">
        <v>46295</v>
      </c>
      <c r="L881" s="1442"/>
      <c r="M881" s="1442"/>
      <c r="N881" t="s">
        <v>2434</v>
      </c>
      <c r="O881" s="1442">
        <v>46309</v>
      </c>
      <c r="P881" s="1442">
        <v>46303</v>
      </c>
    </row>
    <row r="882" spans="1:16">
      <c r="A882" t="s">
        <v>6401</v>
      </c>
      <c r="B882" t="s">
        <v>64</v>
      </c>
      <c r="C882" t="s">
        <v>65</v>
      </c>
      <c r="D882" t="s">
        <v>284</v>
      </c>
      <c r="E882" t="s">
        <v>5491</v>
      </c>
      <c r="F882" t="s">
        <v>5341</v>
      </c>
      <c r="G882">
        <v>1440</v>
      </c>
      <c r="H882" t="s">
        <v>951</v>
      </c>
      <c r="I882" t="s">
        <v>6402</v>
      </c>
      <c r="J882" s="1442">
        <v>46254</v>
      </c>
      <c r="K882" s="1442">
        <v>46309</v>
      </c>
      <c r="L882" s="1442">
        <v>46316.25</v>
      </c>
      <c r="M882" s="1442" t="s">
        <v>2521</v>
      </c>
      <c r="N882" t="s">
        <v>2434</v>
      </c>
      <c r="O882" s="1442">
        <v>46328</v>
      </c>
      <c r="P882" s="1442">
        <v>46324.25</v>
      </c>
    </row>
    <row r="883" spans="1:16">
      <c r="A883" t="s">
        <v>6089</v>
      </c>
      <c r="B883" t="s">
        <v>64</v>
      </c>
      <c r="C883" t="s">
        <v>114</v>
      </c>
      <c r="D883" t="s">
        <v>5331</v>
      </c>
      <c r="E883" t="s">
        <v>5332</v>
      </c>
      <c r="F883" t="s">
        <v>5333</v>
      </c>
      <c r="G883">
        <v>720</v>
      </c>
      <c r="H883" t="s">
        <v>951</v>
      </c>
      <c r="I883" t="s">
        <v>6090</v>
      </c>
      <c r="J883" s="1442">
        <v>46259</v>
      </c>
      <c r="K883" s="1442">
        <v>46310</v>
      </c>
      <c r="L883" s="1442">
        <v>46320.375</v>
      </c>
      <c r="M883" s="1442" t="s">
        <v>2521</v>
      </c>
      <c r="N883" t="s">
        <v>2434</v>
      </c>
      <c r="O883" s="1442">
        <v>46320</v>
      </c>
      <c r="P883" s="1442">
        <v>46329.375</v>
      </c>
    </row>
    <row r="884" spans="1:16">
      <c r="A884" t="s">
        <v>6091</v>
      </c>
      <c r="B884" t="s">
        <v>64</v>
      </c>
      <c r="C884" t="s">
        <v>114</v>
      </c>
      <c r="D884" t="s">
        <v>5331</v>
      </c>
      <c r="E884" t="s">
        <v>5550</v>
      </c>
      <c r="F884" t="s">
        <v>5551</v>
      </c>
      <c r="G884">
        <v>1440</v>
      </c>
      <c r="H884" t="s">
        <v>951</v>
      </c>
      <c r="I884" t="s">
        <v>6092</v>
      </c>
      <c r="J884" s="1442">
        <v>46259</v>
      </c>
      <c r="K884" s="1442">
        <v>46310</v>
      </c>
      <c r="L884" s="1442">
        <v>46320.375</v>
      </c>
      <c r="M884" s="1442" t="s">
        <v>2521</v>
      </c>
      <c r="N884" t="s">
        <v>2434</v>
      </c>
      <c r="O884" s="1442">
        <v>46320</v>
      </c>
      <c r="P884" s="1442">
        <v>46329.375</v>
      </c>
    </row>
    <row r="885" spans="1:16">
      <c r="A885" t="s">
        <v>6085</v>
      </c>
      <c r="B885" t="s">
        <v>64</v>
      </c>
      <c r="C885" t="s">
        <v>114</v>
      </c>
      <c r="D885" t="s">
        <v>5331</v>
      </c>
      <c r="E885" t="s">
        <v>5332</v>
      </c>
      <c r="F885" t="s">
        <v>5333</v>
      </c>
      <c r="G885">
        <v>720</v>
      </c>
      <c r="H885" t="s">
        <v>951</v>
      </c>
      <c r="I885" t="s">
        <v>6086</v>
      </c>
      <c r="J885" s="1442">
        <v>46259</v>
      </c>
      <c r="K885" s="1442">
        <v>46310</v>
      </c>
      <c r="L885" s="1442">
        <v>46320.375</v>
      </c>
      <c r="M885" s="1442" t="s">
        <v>2521</v>
      </c>
      <c r="N885" t="s">
        <v>2434</v>
      </c>
      <c r="O885" s="1442">
        <v>46320</v>
      </c>
      <c r="P885" s="1442">
        <v>46329.375</v>
      </c>
    </row>
    <row r="886" spans="1:16">
      <c r="A886" t="s">
        <v>5942</v>
      </c>
      <c r="B886" t="s">
        <v>5938</v>
      </c>
      <c r="C886" t="s">
        <v>65</v>
      </c>
      <c r="D886" t="s">
        <v>5374</v>
      </c>
      <c r="E886" t="s">
        <v>5939</v>
      </c>
      <c r="F886" t="s">
        <v>5940</v>
      </c>
      <c r="G886">
        <v>936</v>
      </c>
      <c r="H886" t="s">
        <v>951</v>
      </c>
      <c r="I886" t="s">
        <v>5941</v>
      </c>
      <c r="J886" s="1442">
        <v>46249</v>
      </c>
      <c r="K886" s="1442">
        <v>46295</v>
      </c>
      <c r="L886" s="1442"/>
      <c r="M886" s="1442"/>
      <c r="N886" t="s">
        <v>2434</v>
      </c>
      <c r="O886" s="1442">
        <v>46309</v>
      </c>
      <c r="P886" s="1442">
        <v>46303</v>
      </c>
    </row>
    <row r="887" spans="1:16">
      <c r="A887" t="s">
        <v>5937</v>
      </c>
      <c r="B887" t="s">
        <v>5938</v>
      </c>
      <c r="C887" t="s">
        <v>65</v>
      </c>
      <c r="D887" t="s">
        <v>5374</v>
      </c>
      <c r="E887" t="s">
        <v>5939</v>
      </c>
      <c r="F887" t="s">
        <v>5940</v>
      </c>
      <c r="G887">
        <v>4680</v>
      </c>
      <c r="H887" t="s">
        <v>951</v>
      </c>
      <c r="I887" t="s">
        <v>5941</v>
      </c>
      <c r="J887" s="1442">
        <v>46249</v>
      </c>
      <c r="K887" s="1442">
        <v>46295</v>
      </c>
      <c r="L887" s="1442"/>
      <c r="M887" s="1442"/>
      <c r="N887" t="s">
        <v>2434</v>
      </c>
      <c r="O887" s="1442">
        <v>46309</v>
      </c>
      <c r="P887" s="1442">
        <v>46303</v>
      </c>
    </row>
    <row r="888" spans="1:16">
      <c r="A888" t="s">
        <v>6399</v>
      </c>
      <c r="B888" t="s">
        <v>64</v>
      </c>
      <c r="C888" t="s">
        <v>65</v>
      </c>
      <c r="D888" t="s">
        <v>284</v>
      </c>
      <c r="E888" t="s">
        <v>5491</v>
      </c>
      <c r="F888" t="s">
        <v>5341</v>
      </c>
      <c r="G888">
        <v>720</v>
      </c>
      <c r="H888" t="s">
        <v>951</v>
      </c>
      <c r="I888" t="s">
        <v>6400</v>
      </c>
      <c r="J888" s="1442">
        <v>46254</v>
      </c>
      <c r="K888" s="1442">
        <v>46321</v>
      </c>
      <c r="L888" s="1442">
        <v>46321.791666666664</v>
      </c>
      <c r="M888" s="1442" t="s">
        <v>2521</v>
      </c>
      <c r="N888" t="s">
        <v>2434</v>
      </c>
      <c r="O888" s="1442">
        <v>46328</v>
      </c>
      <c r="P888" s="1442">
        <v>46329.791666666664</v>
      </c>
    </row>
    <row r="889" spans="1:16">
      <c r="A889" t="s">
        <v>6384</v>
      </c>
      <c r="B889" t="s">
        <v>64</v>
      </c>
      <c r="C889" t="s">
        <v>100</v>
      </c>
      <c r="D889" t="s">
        <v>284</v>
      </c>
      <c r="E889" t="s">
        <v>5578</v>
      </c>
      <c r="F889" t="s">
        <v>1570</v>
      </c>
      <c r="G889">
        <v>4320</v>
      </c>
      <c r="H889" t="s">
        <v>951</v>
      </c>
      <c r="I889" t="s">
        <v>6385</v>
      </c>
      <c r="J889" s="1442">
        <v>46254</v>
      </c>
      <c r="K889" s="1442">
        <v>46298</v>
      </c>
      <c r="L889" s="1442">
        <v>46302.875</v>
      </c>
      <c r="M889" s="1442" t="s">
        <v>2521</v>
      </c>
      <c r="N889" t="s">
        <v>2434</v>
      </c>
      <c r="O889" s="1442">
        <v>46305</v>
      </c>
      <c r="P889" s="1442">
        <v>46309.875</v>
      </c>
    </row>
    <row r="890" spans="1:16">
      <c r="A890" t="s">
        <v>6340</v>
      </c>
      <c r="B890" t="s">
        <v>64</v>
      </c>
      <c r="C890" t="s">
        <v>100</v>
      </c>
      <c r="D890" t="s">
        <v>4526</v>
      </c>
      <c r="E890" t="s">
        <v>71</v>
      </c>
      <c r="F890" t="s">
        <v>72</v>
      </c>
      <c r="G890">
        <v>5184</v>
      </c>
      <c r="H890" t="s">
        <v>951</v>
      </c>
      <c r="I890" t="s">
        <v>6341</v>
      </c>
      <c r="J890" s="1442">
        <v>46258</v>
      </c>
      <c r="K890" s="1442">
        <v>46303</v>
      </c>
      <c r="L890" s="1442">
        <v>46309.333333333336</v>
      </c>
      <c r="M890" s="1442" t="s">
        <v>2521</v>
      </c>
      <c r="N890" t="s">
        <v>2434</v>
      </c>
      <c r="O890" s="1442">
        <v>46310</v>
      </c>
      <c r="P890" s="1442">
        <v>46316.333333333336</v>
      </c>
    </row>
    <row r="891" spans="1:16">
      <c r="A891" t="s">
        <v>6232</v>
      </c>
      <c r="B891" t="s">
        <v>144</v>
      </c>
      <c r="C891" t="s">
        <v>145</v>
      </c>
      <c r="D891" t="s">
        <v>4526</v>
      </c>
      <c r="E891" t="s">
        <v>6207</v>
      </c>
      <c r="F891" t="s">
        <v>330</v>
      </c>
      <c r="G891">
        <v>3600</v>
      </c>
      <c r="H891" t="s">
        <v>951</v>
      </c>
      <c r="I891" t="s">
        <v>6234</v>
      </c>
      <c r="J891" s="1442">
        <v>46257</v>
      </c>
      <c r="K891" s="1442">
        <v>46298</v>
      </c>
      <c r="L891" s="1442"/>
      <c r="M891" s="1442"/>
      <c r="N891" t="s">
        <v>973</v>
      </c>
      <c r="O891" s="1442">
        <v>46298</v>
      </c>
      <c r="P891" s="1442">
        <v>46298</v>
      </c>
    </row>
    <row r="892" spans="1:16">
      <c r="A892" t="s">
        <v>6291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6292</v>
      </c>
      <c r="J892" s="1442">
        <v>46254</v>
      </c>
      <c r="K892" s="1442">
        <v>46308</v>
      </c>
      <c r="L892" s="1442"/>
      <c r="M892" s="1442"/>
      <c r="N892" t="s">
        <v>2434</v>
      </c>
      <c r="O892" s="1442">
        <v>46310</v>
      </c>
      <c r="P892" s="1442">
        <v>46318</v>
      </c>
    </row>
    <row r="893" spans="1:16">
      <c r="A893" t="s">
        <v>6267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6268</v>
      </c>
      <c r="J893" s="1442">
        <v>46262</v>
      </c>
      <c r="K893" s="1442">
        <v>46318</v>
      </c>
      <c r="L893" s="1442"/>
      <c r="M893" s="1442"/>
      <c r="N893" t="s">
        <v>2434</v>
      </c>
      <c r="O893" s="1442">
        <v>46321</v>
      </c>
      <c r="P893" s="1442">
        <v>46328</v>
      </c>
    </row>
    <row r="894" spans="1:16">
      <c r="A894" t="s">
        <v>6133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6134</v>
      </c>
      <c r="J894" s="1442">
        <v>46247</v>
      </c>
      <c r="K894" s="1442">
        <v>46303</v>
      </c>
      <c r="L894" s="1442"/>
      <c r="M894" s="1442"/>
      <c r="N894" t="s">
        <v>2434</v>
      </c>
      <c r="O894" s="1442">
        <v>46310</v>
      </c>
      <c r="P894" s="1442">
        <v>46313</v>
      </c>
    </row>
    <row r="895" spans="1:16">
      <c r="A895" t="s">
        <v>6093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6094</v>
      </c>
      <c r="J895" s="1442">
        <v>46259</v>
      </c>
      <c r="K895" s="1442">
        <v>46310</v>
      </c>
      <c r="L895" s="1442">
        <v>46320.375</v>
      </c>
      <c r="M895" s="1442" t="s">
        <v>2521</v>
      </c>
      <c r="N895" t="s">
        <v>2434</v>
      </c>
      <c r="O895" s="1442">
        <v>46321</v>
      </c>
      <c r="P895" s="1442">
        <v>46329.375</v>
      </c>
    </row>
    <row r="896" spans="1:16">
      <c r="A896" t="s">
        <v>5727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5728</v>
      </c>
      <c r="J896" s="1442">
        <v>46248</v>
      </c>
      <c r="K896" s="1442">
        <v>46300</v>
      </c>
      <c r="L896" s="1442">
        <v>46317.75</v>
      </c>
      <c r="M896" s="1442" t="s">
        <v>2521</v>
      </c>
      <c r="N896" t="s">
        <v>2434</v>
      </c>
      <c r="O896" s="1442">
        <v>46322</v>
      </c>
      <c r="P896" s="1442">
        <v>46325.75</v>
      </c>
    </row>
    <row r="897" spans="1:16">
      <c r="A897" t="s">
        <v>6068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6069</v>
      </c>
      <c r="J897" s="1442">
        <v>46259</v>
      </c>
      <c r="K897" s="1442">
        <v>46307</v>
      </c>
      <c r="L897" s="1442">
        <v>46317.75</v>
      </c>
      <c r="M897" s="1442" t="s">
        <v>2521</v>
      </c>
      <c r="N897" t="s">
        <v>2434</v>
      </c>
      <c r="O897" s="1442">
        <v>46316</v>
      </c>
      <c r="P897" s="1442">
        <v>46325.75</v>
      </c>
    </row>
    <row r="898" spans="1:16">
      <c r="A898" t="s">
        <v>5718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5719</v>
      </c>
      <c r="J898" s="1442">
        <v>46248</v>
      </c>
      <c r="K898" s="1442">
        <v>46295</v>
      </c>
      <c r="L898" s="1442">
        <v>46315.083333333336</v>
      </c>
      <c r="M898" s="1442" t="s">
        <v>2521</v>
      </c>
      <c r="N898" t="s">
        <v>2434</v>
      </c>
      <c r="O898" s="1442">
        <v>46321</v>
      </c>
      <c r="P898" s="1442">
        <v>46325.083333333336</v>
      </c>
    </row>
    <row r="899" spans="1:16">
      <c r="A899" t="s">
        <v>6009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6010</v>
      </c>
      <c r="J899" s="1442">
        <v>46251</v>
      </c>
      <c r="K899" s="1442">
        <v>46288</v>
      </c>
      <c r="L899" s="1442">
        <v>46289.625</v>
      </c>
      <c r="M899" s="1442" t="s">
        <v>2521</v>
      </c>
      <c r="N899" t="s">
        <v>2434</v>
      </c>
      <c r="O899" s="1442">
        <v>46303</v>
      </c>
      <c r="P899" s="1442">
        <v>46296.625</v>
      </c>
    </row>
    <row r="900" spans="1:16">
      <c r="A900" t="s">
        <v>6378</v>
      </c>
      <c r="B900" t="s">
        <v>64</v>
      </c>
      <c r="C900" t="s">
        <v>100</v>
      </c>
      <c r="D900" t="s">
        <v>284</v>
      </c>
      <c r="E900" t="s">
        <v>6157</v>
      </c>
      <c r="F900" t="s">
        <v>1570</v>
      </c>
      <c r="G900">
        <v>720</v>
      </c>
      <c r="H900" t="s">
        <v>951</v>
      </c>
      <c r="I900" t="s">
        <v>6380</v>
      </c>
      <c r="J900" s="1442">
        <v>46259</v>
      </c>
      <c r="K900" s="1442">
        <v>46319</v>
      </c>
      <c r="L900" s="1442"/>
      <c r="M900" s="1442"/>
      <c r="N900" t="s">
        <v>2434</v>
      </c>
      <c r="O900" s="1442">
        <v>46336</v>
      </c>
      <c r="P900" s="1442">
        <v>46326</v>
      </c>
    </row>
    <row r="901" spans="1:16">
      <c r="A901" t="s">
        <v>6405</v>
      </c>
      <c r="B901" t="s">
        <v>64</v>
      </c>
      <c r="C901" t="s">
        <v>310</v>
      </c>
      <c r="D901" t="s">
        <v>284</v>
      </c>
      <c r="E901" t="s">
        <v>6157</v>
      </c>
      <c r="F901" t="s">
        <v>1570</v>
      </c>
      <c r="G901">
        <v>720</v>
      </c>
      <c r="H901" t="s">
        <v>951</v>
      </c>
      <c r="I901" t="s">
        <v>6406</v>
      </c>
      <c r="J901" s="1442">
        <v>46254</v>
      </c>
      <c r="K901" s="1442">
        <v>46327</v>
      </c>
      <c r="L901" s="1442"/>
      <c r="M901" s="1442"/>
      <c r="N901" t="s">
        <v>2434</v>
      </c>
      <c r="O901" s="1442">
        <v>46328</v>
      </c>
      <c r="P901" s="1442">
        <v>46337</v>
      </c>
    </row>
    <row r="902" spans="1:16">
      <c r="A902" t="s">
        <v>6005</v>
      </c>
      <c r="B902" t="s">
        <v>64</v>
      </c>
      <c r="C902" t="s">
        <v>100</v>
      </c>
      <c r="D902" t="s">
        <v>4526</v>
      </c>
      <c r="E902" t="s">
        <v>5036</v>
      </c>
      <c r="F902" t="s">
        <v>1807</v>
      </c>
      <c r="G902">
        <v>5346</v>
      </c>
      <c r="H902" t="s">
        <v>951</v>
      </c>
      <c r="I902" t="s">
        <v>6006</v>
      </c>
      <c r="J902" s="1442">
        <v>46253</v>
      </c>
      <c r="K902" s="1442">
        <v>46287</v>
      </c>
      <c r="L902" s="1442">
        <v>46298.791666666664</v>
      </c>
      <c r="M902" s="1442" t="s">
        <v>2521</v>
      </c>
      <c r="N902" t="s">
        <v>2434</v>
      </c>
      <c r="O902" s="1442">
        <v>46311</v>
      </c>
      <c r="P902" s="1442">
        <v>46305.791666666664</v>
      </c>
    </row>
    <row r="903" spans="1:16">
      <c r="A903" t="s">
        <v>6333</v>
      </c>
      <c r="B903" t="s">
        <v>64</v>
      </c>
      <c r="C903" t="s">
        <v>100</v>
      </c>
      <c r="D903" t="s">
        <v>4526</v>
      </c>
      <c r="E903" t="s">
        <v>1461</v>
      </c>
      <c r="F903" t="s">
        <v>103</v>
      </c>
      <c r="G903">
        <v>720</v>
      </c>
      <c r="H903" t="s">
        <v>951</v>
      </c>
      <c r="I903" t="s">
        <v>6334</v>
      </c>
      <c r="J903" s="1442">
        <v>46258</v>
      </c>
      <c r="K903" s="1442">
        <v>46303</v>
      </c>
      <c r="L903" s="1442">
        <v>46309.333333333336</v>
      </c>
      <c r="M903" s="1442" t="s">
        <v>2521</v>
      </c>
      <c r="N903" t="s">
        <v>2434</v>
      </c>
      <c r="O903" s="1442">
        <v>46310</v>
      </c>
      <c r="P903" s="1442">
        <v>46316.333333333336</v>
      </c>
    </row>
    <row r="904" spans="1:16">
      <c r="A904" t="s">
        <v>5729</v>
      </c>
      <c r="B904" t="s">
        <v>64</v>
      </c>
      <c r="C904" t="s">
        <v>65</v>
      </c>
      <c r="D904" t="s">
        <v>5374</v>
      </c>
      <c r="E904" t="s">
        <v>5730</v>
      </c>
      <c r="F904" t="s">
        <v>5731</v>
      </c>
      <c r="G904">
        <v>936</v>
      </c>
      <c r="H904" t="s">
        <v>951</v>
      </c>
      <c r="I904" t="s">
        <v>5732</v>
      </c>
      <c r="J904" s="1442">
        <v>46248</v>
      </c>
      <c r="K904" s="1442">
        <v>46300</v>
      </c>
      <c r="L904" s="1442">
        <v>46317.75</v>
      </c>
      <c r="M904" s="1442" t="s">
        <v>2521</v>
      </c>
      <c r="N904" t="s">
        <v>2434</v>
      </c>
      <c r="O904" s="1442">
        <v>46322</v>
      </c>
      <c r="P904" s="1442">
        <v>46325.75</v>
      </c>
    </row>
    <row r="905" spans="1:16">
      <c r="A905" t="s">
        <v>6395</v>
      </c>
      <c r="B905" t="s">
        <v>64</v>
      </c>
      <c r="C905" t="s">
        <v>65</v>
      </c>
      <c r="D905" t="s">
        <v>284</v>
      </c>
      <c r="E905" t="s">
        <v>6157</v>
      </c>
      <c r="F905" t="s">
        <v>1570</v>
      </c>
      <c r="G905">
        <v>2160</v>
      </c>
      <c r="H905" t="s">
        <v>951</v>
      </c>
      <c r="I905" t="s">
        <v>6396</v>
      </c>
      <c r="J905" s="1442">
        <v>46254</v>
      </c>
      <c r="K905" s="1442">
        <v>46321</v>
      </c>
      <c r="L905" s="1442">
        <v>46321.791666666664</v>
      </c>
      <c r="M905" s="1442" t="s">
        <v>2521</v>
      </c>
      <c r="N905" t="s">
        <v>2434</v>
      </c>
      <c r="O905" s="1442">
        <v>46328</v>
      </c>
      <c r="P905" s="1442">
        <v>46329.791666666664</v>
      </c>
    </row>
    <row r="906" spans="1:16">
      <c r="A906" t="s">
        <v>6364</v>
      </c>
      <c r="B906" t="s">
        <v>64</v>
      </c>
      <c r="C906" t="s">
        <v>65</v>
      </c>
      <c r="D906" t="s">
        <v>284</v>
      </c>
      <c r="E906" t="s">
        <v>6157</v>
      </c>
      <c r="F906" t="s">
        <v>1570</v>
      </c>
      <c r="G906">
        <v>720</v>
      </c>
      <c r="H906" t="s">
        <v>951</v>
      </c>
      <c r="I906" t="s">
        <v>6365</v>
      </c>
      <c r="J906" s="1442">
        <v>46258</v>
      </c>
      <c r="K906" s="1442">
        <v>46321</v>
      </c>
      <c r="L906" s="1442">
        <v>46327.854166666664</v>
      </c>
      <c r="M906" s="1442" t="s">
        <v>2521</v>
      </c>
      <c r="N906" t="s">
        <v>2434</v>
      </c>
      <c r="O906" s="1442">
        <v>46329</v>
      </c>
      <c r="P906" s="1442">
        <v>46335.854166666664</v>
      </c>
    </row>
    <row r="907" spans="1:16">
      <c r="A907" t="s">
        <v>6220</v>
      </c>
      <c r="B907" t="s">
        <v>64</v>
      </c>
      <c r="C907" t="s">
        <v>100</v>
      </c>
      <c r="D907" t="s">
        <v>284</v>
      </c>
      <c r="E907" t="s">
        <v>5846</v>
      </c>
      <c r="F907" t="s">
        <v>5847</v>
      </c>
      <c r="G907">
        <v>2808</v>
      </c>
      <c r="H907" t="s">
        <v>951</v>
      </c>
      <c r="I907" t="s">
        <v>6221</v>
      </c>
      <c r="J907" s="1442">
        <v>46257</v>
      </c>
      <c r="K907" s="1442">
        <v>46298</v>
      </c>
      <c r="L907" s="1442"/>
      <c r="M907" s="1442"/>
      <c r="N907" t="s">
        <v>2434</v>
      </c>
      <c r="O907" s="1442">
        <v>46305</v>
      </c>
      <c r="P907" s="1442">
        <v>46305</v>
      </c>
    </row>
    <row r="908" spans="1:16">
      <c r="A908" t="s">
        <v>6338</v>
      </c>
      <c r="B908" t="s">
        <v>64</v>
      </c>
      <c r="C908" t="s">
        <v>100</v>
      </c>
      <c r="D908" t="s">
        <v>284</v>
      </c>
      <c r="E908" t="s">
        <v>6157</v>
      </c>
      <c r="F908" t="s">
        <v>1570</v>
      </c>
      <c r="G908">
        <v>720</v>
      </c>
      <c r="H908" t="s">
        <v>951</v>
      </c>
      <c r="I908" t="s">
        <v>6339</v>
      </c>
      <c r="J908" s="1442">
        <v>46258</v>
      </c>
      <c r="K908" s="1442">
        <v>46303</v>
      </c>
      <c r="L908" s="1442">
        <v>46309.333333333336</v>
      </c>
      <c r="M908" s="1442" t="s">
        <v>2521</v>
      </c>
      <c r="N908" t="s">
        <v>2434</v>
      </c>
      <c r="O908" s="1442">
        <v>46310</v>
      </c>
      <c r="P908" s="1442">
        <v>46316.333333333336</v>
      </c>
    </row>
    <row r="909" spans="1:16">
      <c r="A909" t="s">
        <v>6200</v>
      </c>
      <c r="B909" t="s">
        <v>144</v>
      </c>
      <c r="C909" t="s">
        <v>145</v>
      </c>
      <c r="D909" t="s">
        <v>5374</v>
      </c>
      <c r="E909" t="s">
        <v>5395</v>
      </c>
      <c r="F909" t="s">
        <v>5396</v>
      </c>
      <c r="G909">
        <v>1872</v>
      </c>
      <c r="H909" t="s">
        <v>951</v>
      </c>
      <c r="I909" t="s">
        <v>6201</v>
      </c>
      <c r="J909" s="1442">
        <v>46256</v>
      </c>
      <c r="K909" s="1442">
        <v>46305</v>
      </c>
      <c r="L909" s="1442">
        <v>46305.791666666664</v>
      </c>
      <c r="M909" s="1442" t="s">
        <v>2521</v>
      </c>
      <c r="N909" t="s">
        <v>973</v>
      </c>
      <c r="O909" s="1442">
        <v>46305</v>
      </c>
      <c r="P909" s="1442">
        <v>46305.791666666664</v>
      </c>
    </row>
    <row r="910" spans="1:16">
      <c r="A910" t="s">
        <v>5723</v>
      </c>
      <c r="B910" t="s">
        <v>64</v>
      </c>
      <c r="C910" t="s">
        <v>65</v>
      </c>
      <c r="D910" t="s">
        <v>5374</v>
      </c>
      <c r="E910" t="s">
        <v>5395</v>
      </c>
      <c r="F910" t="s">
        <v>5396</v>
      </c>
      <c r="G910">
        <v>4680</v>
      </c>
      <c r="H910" t="s">
        <v>951</v>
      </c>
      <c r="I910" t="s">
        <v>5724</v>
      </c>
      <c r="J910" s="1442">
        <v>46248</v>
      </c>
      <c r="K910" s="1442">
        <v>46300</v>
      </c>
      <c r="L910" s="1442">
        <v>46317.75</v>
      </c>
      <c r="M910" s="1442" t="s">
        <v>2521</v>
      </c>
      <c r="N910" t="s">
        <v>2434</v>
      </c>
      <c r="O910" s="1442">
        <v>46322</v>
      </c>
      <c r="P910" s="1442">
        <v>46325.75</v>
      </c>
    </row>
    <row r="911" spans="1:16">
      <c r="A911" t="s">
        <v>6190</v>
      </c>
      <c r="B911" t="s">
        <v>64</v>
      </c>
      <c r="C911" t="s">
        <v>450</v>
      </c>
      <c r="D911" t="s">
        <v>284</v>
      </c>
      <c r="E911" t="s">
        <v>5846</v>
      </c>
      <c r="F911" t="s">
        <v>5847</v>
      </c>
      <c r="G911">
        <v>936</v>
      </c>
      <c r="H911" t="s">
        <v>951</v>
      </c>
      <c r="I911" t="s">
        <v>6192</v>
      </c>
      <c r="J911" s="1442">
        <v>46258</v>
      </c>
      <c r="K911" s="1442">
        <v>46299</v>
      </c>
      <c r="L911" s="1442"/>
      <c r="M911" s="1442" t="s">
        <v>2521</v>
      </c>
      <c r="N911" t="s">
        <v>2434</v>
      </c>
      <c r="O911" s="1442">
        <v>46306</v>
      </c>
      <c r="P911" s="1442">
        <v>46306</v>
      </c>
    </row>
    <row r="912" spans="1:16">
      <c r="A912" t="s">
        <v>6193</v>
      </c>
      <c r="B912" t="s">
        <v>64</v>
      </c>
      <c r="C912" t="s">
        <v>450</v>
      </c>
      <c r="D912" t="s">
        <v>284</v>
      </c>
      <c r="E912" t="s">
        <v>5846</v>
      </c>
      <c r="F912" t="s">
        <v>5847</v>
      </c>
      <c r="G912">
        <v>936</v>
      </c>
      <c r="H912" t="s">
        <v>951</v>
      </c>
      <c r="I912" t="s">
        <v>6194</v>
      </c>
      <c r="J912" s="1442">
        <v>46258</v>
      </c>
      <c r="K912" s="1442">
        <v>46299</v>
      </c>
      <c r="L912" s="1442"/>
      <c r="M912" s="1442" t="s">
        <v>2521</v>
      </c>
      <c r="N912" t="s">
        <v>2434</v>
      </c>
      <c r="O912" s="1442">
        <v>46306</v>
      </c>
      <c r="P912" s="1442">
        <v>46306</v>
      </c>
    </row>
    <row r="913" spans="1:16">
      <c r="A913" t="s">
        <v>6388</v>
      </c>
      <c r="B913" t="s">
        <v>64</v>
      </c>
      <c r="C913" t="s">
        <v>100</v>
      </c>
      <c r="D913" t="s">
        <v>4526</v>
      </c>
      <c r="E913" t="s">
        <v>1002</v>
      </c>
      <c r="F913" t="s">
        <v>330</v>
      </c>
      <c r="G913">
        <v>1440</v>
      </c>
      <c r="H913" t="s">
        <v>951</v>
      </c>
      <c r="I913" t="s">
        <v>6389</v>
      </c>
      <c r="J913" s="1442">
        <v>46254</v>
      </c>
      <c r="K913" s="1442">
        <v>46298</v>
      </c>
      <c r="L913" s="1442">
        <v>46302.875</v>
      </c>
      <c r="M913" s="1442" t="s">
        <v>2521</v>
      </c>
      <c r="N913" t="s">
        <v>2434</v>
      </c>
      <c r="O913" s="1442">
        <v>46311</v>
      </c>
      <c r="P913" s="1442">
        <v>46309.875</v>
      </c>
    </row>
    <row r="914" spans="1:16">
      <c r="A914" t="s">
        <v>6360</v>
      </c>
      <c r="B914" t="s">
        <v>64</v>
      </c>
      <c r="C914" t="s">
        <v>65</v>
      </c>
      <c r="D914" t="s">
        <v>4526</v>
      </c>
      <c r="E914" t="s">
        <v>1461</v>
      </c>
      <c r="F914" t="s">
        <v>103</v>
      </c>
      <c r="G914">
        <v>2160</v>
      </c>
      <c r="H914" t="s">
        <v>951</v>
      </c>
      <c r="I914" t="s">
        <v>6361</v>
      </c>
      <c r="J914" s="1442">
        <v>46258</v>
      </c>
      <c r="K914" s="1442">
        <v>46321</v>
      </c>
      <c r="L914" s="1442"/>
      <c r="M914" s="1442" t="s">
        <v>2521</v>
      </c>
      <c r="N914" t="s">
        <v>2434</v>
      </c>
      <c r="O914" s="1442">
        <v>46329</v>
      </c>
      <c r="P914" s="1442">
        <v>46329</v>
      </c>
    </row>
    <row r="915" spans="1:16">
      <c r="A915" t="s">
        <v>6225</v>
      </c>
      <c r="B915" t="s">
        <v>64</v>
      </c>
      <c r="C915" t="s">
        <v>100</v>
      </c>
      <c r="D915" t="s">
        <v>284</v>
      </c>
      <c r="E915" t="s">
        <v>5846</v>
      </c>
      <c r="F915" t="s">
        <v>5847</v>
      </c>
      <c r="G915">
        <v>1872</v>
      </c>
      <c r="H915" t="s">
        <v>951</v>
      </c>
      <c r="I915" t="s">
        <v>6226</v>
      </c>
      <c r="J915" s="1442">
        <v>46257</v>
      </c>
      <c r="K915" s="1442">
        <v>46298</v>
      </c>
      <c r="L915" s="1442"/>
      <c r="M915" s="1442"/>
      <c r="N915" t="s">
        <v>2434</v>
      </c>
      <c r="O915" s="1442">
        <v>46305</v>
      </c>
      <c r="P915" s="1442">
        <v>46305</v>
      </c>
    </row>
    <row r="916" spans="1:16">
      <c r="A916" t="s">
        <v>6195</v>
      </c>
      <c r="B916" t="s">
        <v>144</v>
      </c>
      <c r="C916" t="s">
        <v>145</v>
      </c>
      <c r="D916" t="s">
        <v>284</v>
      </c>
      <c r="E916" t="s">
        <v>5846</v>
      </c>
      <c r="F916" t="s">
        <v>5847</v>
      </c>
      <c r="G916">
        <v>4680</v>
      </c>
      <c r="H916" t="s">
        <v>951</v>
      </c>
      <c r="I916" t="s">
        <v>6197</v>
      </c>
      <c r="J916" s="1442">
        <v>46258</v>
      </c>
      <c r="K916" s="1442">
        <v>46299</v>
      </c>
      <c r="L916" s="1442">
        <v>46297.291666666664</v>
      </c>
      <c r="M916" s="1442" t="s">
        <v>2521</v>
      </c>
      <c r="N916" t="s">
        <v>973</v>
      </c>
      <c r="O916" s="1442">
        <v>46294</v>
      </c>
      <c r="P916" s="1442">
        <v>46297.291666666664</v>
      </c>
    </row>
    <row r="917" spans="1:16">
      <c r="A917" t="s">
        <v>6342</v>
      </c>
      <c r="B917" t="s">
        <v>64</v>
      </c>
      <c r="C917" t="s">
        <v>100</v>
      </c>
      <c r="D917" t="s">
        <v>4526</v>
      </c>
      <c r="E917" t="s">
        <v>1461</v>
      </c>
      <c r="F917" t="s">
        <v>103</v>
      </c>
      <c r="G917">
        <v>1440</v>
      </c>
      <c r="H917" t="s">
        <v>951</v>
      </c>
      <c r="I917" t="s">
        <v>6343</v>
      </c>
      <c r="J917" s="1442">
        <v>46257</v>
      </c>
      <c r="K917" s="1442">
        <v>46305</v>
      </c>
      <c r="L917" s="1442"/>
      <c r="M917" s="1442"/>
      <c r="N917" t="s">
        <v>2434</v>
      </c>
      <c r="O917" s="1442">
        <v>46318</v>
      </c>
      <c r="P917" s="1442">
        <v>46312</v>
      </c>
    </row>
    <row r="918" spans="1:16">
      <c r="A918" t="s">
        <v>6227</v>
      </c>
      <c r="B918" t="s">
        <v>64</v>
      </c>
      <c r="C918" t="s">
        <v>100</v>
      </c>
      <c r="D918" t="s">
        <v>284</v>
      </c>
      <c r="E918" t="s">
        <v>5846</v>
      </c>
      <c r="F918" t="s">
        <v>5847</v>
      </c>
      <c r="G918">
        <v>2808</v>
      </c>
      <c r="H918" t="s">
        <v>951</v>
      </c>
      <c r="I918" t="s">
        <v>6228</v>
      </c>
      <c r="J918" s="1442">
        <v>46257</v>
      </c>
      <c r="K918" s="1442">
        <v>46298</v>
      </c>
      <c r="L918" s="1442"/>
      <c r="M918" s="1442"/>
      <c r="N918" t="s">
        <v>2434</v>
      </c>
      <c r="O918" s="1442">
        <v>46305</v>
      </c>
      <c r="P918" s="1442">
        <v>46305</v>
      </c>
    </row>
    <row r="919" spans="1:16">
      <c r="A919" t="s">
        <v>6230</v>
      </c>
      <c r="B919" t="s">
        <v>64</v>
      </c>
      <c r="C919" t="s">
        <v>100</v>
      </c>
      <c r="D919" t="s">
        <v>284</v>
      </c>
      <c r="E919" t="s">
        <v>5846</v>
      </c>
      <c r="F919" t="s">
        <v>5847</v>
      </c>
      <c r="G919">
        <v>1872</v>
      </c>
      <c r="H919" t="s">
        <v>951</v>
      </c>
      <c r="I919" t="s">
        <v>6231</v>
      </c>
      <c r="J919" s="1442">
        <v>46257</v>
      </c>
      <c r="K919" s="1442">
        <v>46298</v>
      </c>
      <c r="L919" s="1442"/>
      <c r="M919" s="1442"/>
      <c r="N919" t="s">
        <v>2434</v>
      </c>
      <c r="O919" s="1442">
        <v>46305</v>
      </c>
      <c r="P919" s="1442">
        <v>46305</v>
      </c>
    </row>
    <row r="920" spans="1:16">
      <c r="A920" t="s">
        <v>6187</v>
      </c>
      <c r="B920" t="s">
        <v>64</v>
      </c>
      <c r="C920" t="s">
        <v>450</v>
      </c>
      <c r="D920" t="s">
        <v>284</v>
      </c>
      <c r="E920" t="s">
        <v>6181</v>
      </c>
      <c r="F920" t="s">
        <v>6182</v>
      </c>
      <c r="G920">
        <v>1872</v>
      </c>
      <c r="H920" t="s">
        <v>951</v>
      </c>
      <c r="I920" t="s">
        <v>6189</v>
      </c>
      <c r="J920" s="1442">
        <v>46258</v>
      </c>
      <c r="K920" s="1442">
        <v>46299</v>
      </c>
      <c r="L920" s="1442"/>
      <c r="M920" s="1442" t="s">
        <v>2521</v>
      </c>
      <c r="N920" t="s">
        <v>2434</v>
      </c>
      <c r="O920" s="1442">
        <v>46306</v>
      </c>
      <c r="P920" s="1442">
        <v>46306</v>
      </c>
    </row>
    <row r="921" spans="1:16">
      <c r="A921" t="s">
        <v>7855</v>
      </c>
      <c r="B921" t="s">
        <v>64</v>
      </c>
      <c r="C921" t="s">
        <v>450</v>
      </c>
      <c r="D921" t="s">
        <v>284</v>
      </c>
      <c r="E921" t="s">
        <v>6181</v>
      </c>
      <c r="F921" t="s">
        <v>6182</v>
      </c>
      <c r="G921">
        <v>936</v>
      </c>
      <c r="H921" t="s">
        <v>951</v>
      </c>
      <c r="I921" t="s">
        <v>6183</v>
      </c>
      <c r="J921" s="1442">
        <v>46258</v>
      </c>
      <c r="K921" s="1442">
        <v>46299</v>
      </c>
      <c r="L921" s="1442"/>
      <c r="M921" s="1442" t="s">
        <v>2521</v>
      </c>
      <c r="N921" t="s">
        <v>2434</v>
      </c>
      <c r="O921" s="1442">
        <v>46306</v>
      </c>
      <c r="P921" s="1442">
        <v>46306</v>
      </c>
    </row>
    <row r="922" spans="1:16">
      <c r="A922" t="s">
        <v>6347</v>
      </c>
      <c r="B922" t="s">
        <v>64</v>
      </c>
      <c r="C922" t="s">
        <v>100</v>
      </c>
      <c r="D922" t="s">
        <v>4526</v>
      </c>
      <c r="E922" t="s">
        <v>1151</v>
      </c>
      <c r="F922" t="s">
        <v>421</v>
      </c>
      <c r="G922">
        <v>5184</v>
      </c>
      <c r="H922" t="s">
        <v>951</v>
      </c>
      <c r="I922" t="s">
        <v>6349</v>
      </c>
      <c r="J922" s="1442">
        <v>46257</v>
      </c>
      <c r="K922" s="1442">
        <v>46305</v>
      </c>
      <c r="L922" s="1442"/>
      <c r="M922" s="1442"/>
      <c r="N922" t="s">
        <v>2434</v>
      </c>
      <c r="O922" s="1442">
        <v>46318</v>
      </c>
      <c r="P922" s="1442">
        <v>46312</v>
      </c>
    </row>
    <row r="923" spans="1:16">
      <c r="A923" t="s">
        <v>6350</v>
      </c>
      <c r="B923" t="s">
        <v>64</v>
      </c>
      <c r="C923" t="s">
        <v>100</v>
      </c>
      <c r="D923" t="s">
        <v>4526</v>
      </c>
      <c r="E923" t="s">
        <v>1151</v>
      </c>
      <c r="F923" t="s">
        <v>421</v>
      </c>
      <c r="G923">
        <v>5184</v>
      </c>
      <c r="H923" t="s">
        <v>951</v>
      </c>
      <c r="I923" t="s">
        <v>6352</v>
      </c>
      <c r="J923" s="1442">
        <v>46257</v>
      </c>
      <c r="K923" s="1442">
        <v>46305</v>
      </c>
      <c r="L923" s="1442"/>
      <c r="M923" s="1442"/>
      <c r="N923" t="s">
        <v>2434</v>
      </c>
      <c r="O923" s="1442">
        <v>46318</v>
      </c>
      <c r="P923" s="1442">
        <v>46312</v>
      </c>
    </row>
    <row r="924" spans="1:16">
      <c r="A924" t="s">
        <v>6409</v>
      </c>
      <c r="B924" t="s">
        <v>64</v>
      </c>
      <c r="C924" t="s">
        <v>450</v>
      </c>
      <c r="D924" t="s">
        <v>4526</v>
      </c>
      <c r="E924" t="s">
        <v>1151</v>
      </c>
      <c r="F924" t="s">
        <v>421</v>
      </c>
      <c r="G924">
        <v>864</v>
      </c>
      <c r="H924" t="s">
        <v>951</v>
      </c>
      <c r="I924" t="s">
        <v>6411</v>
      </c>
      <c r="J924" s="1442">
        <v>46254</v>
      </c>
      <c r="K924" s="1442">
        <v>46306</v>
      </c>
      <c r="L924" s="1442">
        <v>46313.125</v>
      </c>
      <c r="M924" s="1442" t="s">
        <v>2521</v>
      </c>
      <c r="N924" t="s">
        <v>2434</v>
      </c>
      <c r="O924" s="1442">
        <v>46328</v>
      </c>
      <c r="P924" s="1442">
        <v>46320.125</v>
      </c>
    </row>
    <row r="925" spans="1:16">
      <c r="A925" t="s">
        <v>6414</v>
      </c>
      <c r="B925" t="s">
        <v>64</v>
      </c>
      <c r="C925" t="s">
        <v>450</v>
      </c>
      <c r="D925" t="s">
        <v>4526</v>
      </c>
      <c r="E925" t="s">
        <v>1151</v>
      </c>
      <c r="F925" t="s">
        <v>421</v>
      </c>
      <c r="G925">
        <v>864</v>
      </c>
      <c r="H925" t="s">
        <v>951</v>
      </c>
      <c r="I925" t="s">
        <v>6415</v>
      </c>
      <c r="J925" s="1442">
        <v>46258</v>
      </c>
      <c r="K925" s="1442">
        <v>46313</v>
      </c>
      <c r="L925" s="1442">
        <v>46313.041666666664</v>
      </c>
      <c r="M925" s="1442" t="s">
        <v>2521</v>
      </c>
      <c r="N925" t="s">
        <v>2434</v>
      </c>
      <c r="O925" s="1442">
        <v>46321</v>
      </c>
      <c r="P925" s="1442">
        <v>46320.041666666664</v>
      </c>
    </row>
    <row r="926" spans="1:16">
      <c r="A926" t="s">
        <v>6167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6168</v>
      </c>
      <c r="J926" s="1442">
        <v>46249</v>
      </c>
      <c r="K926" s="1442">
        <v>46305</v>
      </c>
      <c r="L926" s="1442"/>
      <c r="M926" s="1442"/>
      <c r="N926" t="s">
        <v>2434</v>
      </c>
      <c r="O926" s="1442">
        <v>46312</v>
      </c>
      <c r="P926" s="1442">
        <v>46312</v>
      </c>
    </row>
    <row r="927" spans="1:16">
      <c r="A927" t="s">
        <v>6042</v>
      </c>
      <c r="B927" t="s">
        <v>64</v>
      </c>
      <c r="C927" t="s">
        <v>100</v>
      </c>
      <c r="D927" t="s">
        <v>4526</v>
      </c>
      <c r="E927" t="s">
        <v>5052</v>
      </c>
      <c r="F927" t="s">
        <v>1484</v>
      </c>
      <c r="G927">
        <v>4752</v>
      </c>
      <c r="H927" t="s">
        <v>951</v>
      </c>
      <c r="I927" t="s">
        <v>6043</v>
      </c>
      <c r="J927" s="1442">
        <v>46249</v>
      </c>
      <c r="K927" s="1442">
        <v>46282</v>
      </c>
      <c r="L927" s="1442">
        <v>46284.427083333336</v>
      </c>
      <c r="M927" s="1442" t="s">
        <v>2521</v>
      </c>
      <c r="N927" t="s">
        <v>2434</v>
      </c>
      <c r="O927" s="1442">
        <v>46300</v>
      </c>
      <c r="P927" s="1442">
        <v>46291.427083333336</v>
      </c>
    </row>
    <row r="928" spans="1:16">
      <c r="A928" t="s">
        <v>6046</v>
      </c>
      <c r="B928" t="s">
        <v>64</v>
      </c>
      <c r="C928" t="s">
        <v>100</v>
      </c>
      <c r="D928" t="s">
        <v>4526</v>
      </c>
      <c r="E928" t="s">
        <v>5052</v>
      </c>
      <c r="F928" t="s">
        <v>1484</v>
      </c>
      <c r="G928">
        <v>1188</v>
      </c>
      <c r="H928" t="s">
        <v>951</v>
      </c>
      <c r="I928" t="s">
        <v>6047</v>
      </c>
      <c r="J928" s="1442">
        <v>46249</v>
      </c>
      <c r="K928" s="1442">
        <v>46282</v>
      </c>
      <c r="L928" s="1442">
        <v>46284.427083333336</v>
      </c>
      <c r="M928" s="1442" t="s">
        <v>2521</v>
      </c>
      <c r="N928" t="s">
        <v>2434</v>
      </c>
      <c r="O928" s="1442">
        <v>46269</v>
      </c>
      <c r="P928" s="1442">
        <v>46291.427083333336</v>
      </c>
    </row>
    <row r="929" spans="1:16">
      <c r="A929" t="s">
        <v>6265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6266</v>
      </c>
      <c r="J929" s="1442">
        <v>46264</v>
      </c>
      <c r="K929" s="1442">
        <v>46317</v>
      </c>
      <c r="L929" s="1442">
        <v>46324.625</v>
      </c>
      <c r="M929" s="1442" t="s">
        <v>2521</v>
      </c>
      <c r="N929" t="s">
        <v>2434</v>
      </c>
      <c r="O929" s="1442">
        <v>46325</v>
      </c>
      <c r="P929" s="1442">
        <v>46333.625</v>
      </c>
    </row>
    <row r="930" spans="1:16">
      <c r="A930" t="s">
        <v>6217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6218</v>
      </c>
      <c r="J930" s="1442">
        <v>46257</v>
      </c>
      <c r="K930" s="1442">
        <v>46298</v>
      </c>
      <c r="L930" s="1442"/>
      <c r="M930" s="1442"/>
      <c r="N930" t="s">
        <v>2434</v>
      </c>
      <c r="O930" s="1442">
        <v>46304</v>
      </c>
      <c r="P930" s="1442">
        <v>46305</v>
      </c>
    </row>
    <row r="931" spans="1:16">
      <c r="A931" t="s">
        <v>6070</v>
      </c>
      <c r="B931" t="s">
        <v>64</v>
      </c>
      <c r="C931" t="s">
        <v>65</v>
      </c>
      <c r="D931" t="s">
        <v>4526</v>
      </c>
      <c r="E931" t="s">
        <v>71</v>
      </c>
      <c r="F931" t="s">
        <v>72</v>
      </c>
      <c r="G931">
        <v>864</v>
      </c>
      <c r="H931" t="s">
        <v>951</v>
      </c>
      <c r="I931" t="s">
        <v>6071</v>
      </c>
      <c r="J931" s="1442">
        <v>46253</v>
      </c>
      <c r="K931" s="1442">
        <v>46302</v>
      </c>
      <c r="L931" s="1442"/>
      <c r="M931" s="1442"/>
      <c r="N931" t="s">
        <v>2434</v>
      </c>
      <c r="O931" s="1442">
        <v>46310</v>
      </c>
      <c r="P931" s="1442">
        <v>46310</v>
      </c>
    </row>
    <row r="932" spans="1:16">
      <c r="A932" t="s">
        <v>6074</v>
      </c>
      <c r="B932" t="s">
        <v>64</v>
      </c>
      <c r="C932" t="s">
        <v>65</v>
      </c>
      <c r="D932" t="s">
        <v>4526</v>
      </c>
      <c r="E932" t="s">
        <v>71</v>
      </c>
      <c r="F932" t="s">
        <v>72</v>
      </c>
      <c r="G932">
        <v>3456</v>
      </c>
      <c r="H932" t="s">
        <v>951</v>
      </c>
      <c r="I932" t="s">
        <v>6075</v>
      </c>
      <c r="J932" s="1442">
        <v>46253</v>
      </c>
      <c r="K932" s="1442">
        <v>46302</v>
      </c>
      <c r="L932" s="1442"/>
      <c r="M932" s="1442"/>
      <c r="N932" t="s">
        <v>2434</v>
      </c>
      <c r="O932" s="1442">
        <v>46310</v>
      </c>
      <c r="P932" s="1442">
        <v>46310</v>
      </c>
    </row>
    <row r="933" spans="1:16">
      <c r="A933" t="s">
        <v>6241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 t="s">
        <v>6242</v>
      </c>
      <c r="J933" s="1442">
        <v>46264</v>
      </c>
      <c r="K933" s="1442">
        <v>46314</v>
      </c>
      <c r="L933" s="1442">
        <v>46321.791666666664</v>
      </c>
      <c r="M933" s="1442" t="s">
        <v>2521</v>
      </c>
      <c r="N933" t="s">
        <v>2434</v>
      </c>
      <c r="O933" s="1442">
        <v>46322</v>
      </c>
      <c r="P933" s="1442">
        <v>46329.791666666664</v>
      </c>
    </row>
    <row r="934" spans="1:16">
      <c r="A934" t="s">
        <v>6037</v>
      </c>
      <c r="B934" t="s">
        <v>64</v>
      </c>
      <c r="C934" t="s">
        <v>100</v>
      </c>
      <c r="D934" t="s">
        <v>4526</v>
      </c>
      <c r="E934" t="s">
        <v>5052</v>
      </c>
      <c r="F934" t="s">
        <v>1484</v>
      </c>
      <c r="G934">
        <v>1188</v>
      </c>
      <c r="H934" t="s">
        <v>951</v>
      </c>
      <c r="I934" t="s">
        <v>6038</v>
      </c>
      <c r="J934" s="1442">
        <v>46258</v>
      </c>
      <c r="K934" s="1442">
        <v>46295</v>
      </c>
      <c r="L934" s="1442"/>
      <c r="M934" s="1442"/>
      <c r="N934" t="s">
        <v>2434</v>
      </c>
      <c r="O934" s="1442">
        <v>46302</v>
      </c>
      <c r="P934" s="1442">
        <v>46302</v>
      </c>
    </row>
    <row r="935" spans="1:16">
      <c r="A935" t="s">
        <v>6032</v>
      </c>
      <c r="B935" t="s">
        <v>64</v>
      </c>
      <c r="C935" t="s">
        <v>100</v>
      </c>
      <c r="D935" t="s">
        <v>4526</v>
      </c>
      <c r="E935" t="s">
        <v>5052</v>
      </c>
      <c r="F935" t="s">
        <v>1484</v>
      </c>
      <c r="G935">
        <v>2970</v>
      </c>
      <c r="H935" t="s">
        <v>951</v>
      </c>
      <c r="I935" t="s">
        <v>6033</v>
      </c>
      <c r="J935" s="1442">
        <v>46258</v>
      </c>
      <c r="K935" s="1442">
        <v>46295</v>
      </c>
      <c r="L935" s="1442"/>
      <c r="M935" s="1442"/>
      <c r="N935" t="s">
        <v>2434</v>
      </c>
      <c r="O935" s="1442">
        <v>46302</v>
      </c>
      <c r="P935" s="1442">
        <v>46302</v>
      </c>
    </row>
    <row r="936" spans="1:16">
      <c r="A936" t="s">
        <v>6212</v>
      </c>
      <c r="B936" t="s">
        <v>64</v>
      </c>
      <c r="C936" t="s">
        <v>100</v>
      </c>
      <c r="D936" t="s">
        <v>4526</v>
      </c>
      <c r="E936" t="s">
        <v>4587</v>
      </c>
      <c r="F936" t="s">
        <v>330</v>
      </c>
      <c r="G936">
        <v>720</v>
      </c>
      <c r="H936" t="s">
        <v>951</v>
      </c>
      <c r="I936" t="s">
        <v>6213</v>
      </c>
      <c r="J936" s="1442">
        <v>46257</v>
      </c>
      <c r="K936" s="1442">
        <v>46298</v>
      </c>
      <c r="L936" s="1442"/>
      <c r="M936" s="1442"/>
      <c r="N936" t="s">
        <v>2434</v>
      </c>
      <c r="O936" s="1442">
        <v>46305</v>
      </c>
      <c r="P936" s="1442">
        <v>46305</v>
      </c>
    </row>
    <row r="937" spans="1:16">
      <c r="A937" t="s">
        <v>6040</v>
      </c>
      <c r="B937" t="s">
        <v>64</v>
      </c>
      <c r="C937" t="s">
        <v>100</v>
      </c>
      <c r="D937" t="s">
        <v>4526</v>
      </c>
      <c r="E937" t="s">
        <v>4587</v>
      </c>
      <c r="F937" t="s">
        <v>330</v>
      </c>
      <c r="G937">
        <v>720</v>
      </c>
      <c r="H937" t="s">
        <v>951</v>
      </c>
      <c r="I937" t="s">
        <v>6041</v>
      </c>
      <c r="J937" s="1442">
        <v>46258</v>
      </c>
      <c r="K937" s="1442">
        <v>46295</v>
      </c>
      <c r="L937" s="1442"/>
      <c r="M937" s="1442"/>
      <c r="N937" t="s">
        <v>2434</v>
      </c>
      <c r="O937" s="1442">
        <v>46302</v>
      </c>
      <c r="P937" s="1442">
        <v>46302</v>
      </c>
    </row>
    <row r="938" spans="1:16">
      <c r="A938" t="s">
        <v>6263</v>
      </c>
      <c r="B938" t="s">
        <v>64</v>
      </c>
      <c r="C938" t="s">
        <v>114</v>
      </c>
      <c r="D938" t="s">
        <v>5331</v>
      </c>
      <c r="E938" t="s">
        <v>5332</v>
      </c>
      <c r="F938" t="s">
        <v>5333</v>
      </c>
      <c r="G938">
        <v>1440</v>
      </c>
      <c r="H938" t="s">
        <v>951</v>
      </c>
      <c r="I938" t="s">
        <v>6264</v>
      </c>
      <c r="J938" s="1442">
        <v>46264</v>
      </c>
      <c r="K938" s="1442">
        <v>46317</v>
      </c>
      <c r="L938" s="1442">
        <v>46324.625</v>
      </c>
      <c r="M938" s="1442" t="s">
        <v>2521</v>
      </c>
      <c r="N938" t="s">
        <v>2434</v>
      </c>
      <c r="O938" s="1442">
        <v>46326</v>
      </c>
      <c r="P938" s="1442">
        <v>46333.625</v>
      </c>
    </row>
    <row r="939" spans="1:16">
      <c r="A939" t="s">
        <v>6259</v>
      </c>
      <c r="B939" t="s">
        <v>64</v>
      </c>
      <c r="C939" t="s">
        <v>114</v>
      </c>
      <c r="D939" t="s">
        <v>5331</v>
      </c>
      <c r="E939" t="s">
        <v>5550</v>
      </c>
      <c r="F939" t="s">
        <v>5551</v>
      </c>
      <c r="G939">
        <v>1440</v>
      </c>
      <c r="H939" t="s">
        <v>951</v>
      </c>
      <c r="I939" t="s">
        <v>6260</v>
      </c>
      <c r="J939" s="1442">
        <v>46264</v>
      </c>
      <c r="K939" s="1442">
        <v>46317</v>
      </c>
      <c r="L939" s="1442">
        <v>46324.625</v>
      </c>
      <c r="M939" s="1442" t="s">
        <v>2521</v>
      </c>
      <c r="N939" t="s">
        <v>2434</v>
      </c>
      <c r="O939" s="1442">
        <v>46326</v>
      </c>
      <c r="P939" s="1442">
        <v>46333.625</v>
      </c>
    </row>
    <row r="940" spans="1:16">
      <c r="A940" t="s">
        <v>6076</v>
      </c>
      <c r="B940" t="s">
        <v>64</v>
      </c>
      <c r="C940" t="s">
        <v>65</v>
      </c>
      <c r="D940" t="s">
        <v>5374</v>
      </c>
      <c r="E940" t="s">
        <v>5730</v>
      </c>
      <c r="F940" t="s">
        <v>5731</v>
      </c>
      <c r="G940">
        <v>11232</v>
      </c>
      <c r="H940" t="s">
        <v>951</v>
      </c>
      <c r="I940" t="s">
        <v>6077</v>
      </c>
      <c r="J940" s="1442">
        <v>46253</v>
      </c>
      <c r="K940" s="1442">
        <v>46302</v>
      </c>
      <c r="L940" s="1442"/>
      <c r="M940" s="1442"/>
      <c r="N940" t="s">
        <v>2434</v>
      </c>
      <c r="O940" s="1442">
        <v>46310</v>
      </c>
      <c r="P940" s="1442">
        <v>46310</v>
      </c>
    </row>
    <row r="941" spans="1:16">
      <c r="A941" t="s">
        <v>6371</v>
      </c>
      <c r="B941" t="s">
        <v>64</v>
      </c>
      <c r="C941" t="s">
        <v>100</v>
      </c>
      <c r="D941" t="s">
        <v>4526</v>
      </c>
      <c r="E941" t="s">
        <v>1151</v>
      </c>
      <c r="F941" t="s">
        <v>421</v>
      </c>
      <c r="G941">
        <v>1728</v>
      </c>
      <c r="H941" t="s">
        <v>951</v>
      </c>
      <c r="I941" t="s">
        <v>6374</v>
      </c>
      <c r="J941" s="1442">
        <v>46263</v>
      </c>
      <c r="K941" s="1442">
        <v>46321</v>
      </c>
      <c r="L941" s="1442">
        <v>46324</v>
      </c>
      <c r="M941" s="1442"/>
      <c r="N941" t="s">
        <v>2434</v>
      </c>
      <c r="O941" s="1442">
        <v>46328</v>
      </c>
      <c r="P941" s="1442">
        <v>46331</v>
      </c>
    </row>
    <row r="942" spans="1:16">
      <c r="A942" t="s">
        <v>6171</v>
      </c>
      <c r="B942" t="s">
        <v>144</v>
      </c>
      <c r="C942" t="s">
        <v>145</v>
      </c>
      <c r="D942" t="s">
        <v>284</v>
      </c>
      <c r="E942" t="s">
        <v>5846</v>
      </c>
      <c r="F942" t="s">
        <v>5847</v>
      </c>
      <c r="G942">
        <v>10296</v>
      </c>
      <c r="H942" t="s">
        <v>951</v>
      </c>
      <c r="I942" t="s">
        <v>6175</v>
      </c>
      <c r="J942" s="1442">
        <v>46263</v>
      </c>
      <c r="K942" s="1442">
        <v>46304</v>
      </c>
      <c r="L942" s="1442"/>
      <c r="M942" s="1442" t="s">
        <v>2521</v>
      </c>
      <c r="N942" t="s">
        <v>973</v>
      </c>
      <c r="O942" s="1442">
        <v>46304</v>
      </c>
      <c r="P942" s="1442">
        <v>46304</v>
      </c>
    </row>
    <row r="943" spans="1:16">
      <c r="A943" t="s">
        <v>6315</v>
      </c>
      <c r="B943" t="s">
        <v>144</v>
      </c>
      <c r="C943" t="s">
        <v>145</v>
      </c>
      <c r="D943" t="s">
        <v>284</v>
      </c>
      <c r="E943" t="s">
        <v>5846</v>
      </c>
      <c r="F943" t="s">
        <v>5847</v>
      </c>
      <c r="G943">
        <v>4680</v>
      </c>
      <c r="H943" t="s">
        <v>951</v>
      </c>
      <c r="I943" t="s">
        <v>6316</v>
      </c>
      <c r="J943" s="1442">
        <v>46255</v>
      </c>
      <c r="K943" s="1442">
        <v>46297</v>
      </c>
      <c r="L943" s="1442"/>
      <c r="M943" s="1442" t="s">
        <v>2521</v>
      </c>
      <c r="N943" t="s">
        <v>973</v>
      </c>
      <c r="O943" s="1442">
        <v>46297</v>
      </c>
      <c r="P943" s="1442">
        <v>46297</v>
      </c>
    </row>
    <row r="944" spans="1:16">
      <c r="A944" t="s">
        <v>6324</v>
      </c>
      <c r="B944" t="s">
        <v>144</v>
      </c>
      <c r="C944" t="s">
        <v>145</v>
      </c>
      <c r="D944" t="s">
        <v>284</v>
      </c>
      <c r="E944" t="s">
        <v>5846</v>
      </c>
      <c r="F944" t="s">
        <v>5847</v>
      </c>
      <c r="G944">
        <v>1872</v>
      </c>
      <c r="H944" t="s">
        <v>951</v>
      </c>
      <c r="I944" t="s">
        <v>6325</v>
      </c>
      <c r="J944" s="1442">
        <v>46253</v>
      </c>
      <c r="K944" s="1442">
        <v>46292</v>
      </c>
      <c r="L944" s="1442">
        <v>46302.25</v>
      </c>
      <c r="M944" s="1442" t="s">
        <v>2521</v>
      </c>
      <c r="N944" t="s">
        <v>973</v>
      </c>
      <c r="O944" s="1442">
        <v>46296</v>
      </c>
      <c r="P944" s="1442">
        <v>46302.25</v>
      </c>
    </row>
    <row r="945" spans="1:16">
      <c r="A945" t="s">
        <v>6319</v>
      </c>
      <c r="B945" t="s">
        <v>144</v>
      </c>
      <c r="C945" t="s">
        <v>145</v>
      </c>
      <c r="D945" t="s">
        <v>284</v>
      </c>
      <c r="E945" t="s">
        <v>5846</v>
      </c>
      <c r="F945" t="s">
        <v>5847</v>
      </c>
      <c r="G945">
        <v>1872</v>
      </c>
      <c r="H945" t="s">
        <v>951</v>
      </c>
      <c r="I945" t="s">
        <v>6320</v>
      </c>
      <c r="J945" s="1442">
        <v>46256</v>
      </c>
      <c r="K945" s="1442">
        <v>46292</v>
      </c>
      <c r="L945" s="1442">
        <v>46302.25</v>
      </c>
      <c r="M945" s="1442" t="s">
        <v>2521</v>
      </c>
      <c r="N945" t="s">
        <v>973</v>
      </c>
      <c r="O945" s="1442">
        <v>46296</v>
      </c>
      <c r="P945" s="1442">
        <v>46302.25</v>
      </c>
    </row>
    <row r="946" spans="1:16">
      <c r="A946" t="s">
        <v>6310</v>
      </c>
      <c r="B946" t="s">
        <v>144</v>
      </c>
      <c r="C946" t="s">
        <v>145</v>
      </c>
      <c r="D946" t="s">
        <v>284</v>
      </c>
      <c r="E946" t="s">
        <v>5846</v>
      </c>
      <c r="F946" t="s">
        <v>5847</v>
      </c>
      <c r="G946">
        <v>1872</v>
      </c>
      <c r="H946" t="s">
        <v>951</v>
      </c>
      <c r="I946" t="s">
        <v>6311</v>
      </c>
      <c r="J946" s="1442">
        <v>46259</v>
      </c>
      <c r="K946" s="1442">
        <v>46296</v>
      </c>
      <c r="L946" s="1442"/>
      <c r="M946" s="1442" t="s">
        <v>2521</v>
      </c>
      <c r="N946" t="s">
        <v>973</v>
      </c>
      <c r="O946" s="1442">
        <v>46296</v>
      </c>
      <c r="P946" s="1442">
        <v>46296</v>
      </c>
    </row>
    <row r="947" spans="1:16">
      <c r="A947" t="s">
        <v>6083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6084</v>
      </c>
      <c r="J947" s="1442">
        <v>46256</v>
      </c>
      <c r="K947" s="1442">
        <v>46302</v>
      </c>
      <c r="L947" s="1442"/>
      <c r="M947" s="1442"/>
      <c r="N947" t="s">
        <v>2434</v>
      </c>
      <c r="O947" s="1442">
        <v>46310</v>
      </c>
      <c r="P947" s="1442">
        <v>46310</v>
      </c>
    </row>
    <row r="948" spans="1:16">
      <c r="A948" t="s">
        <v>6257</v>
      </c>
      <c r="B948" t="s">
        <v>64</v>
      </c>
      <c r="C948" t="s">
        <v>65</v>
      </c>
      <c r="D948" t="s">
        <v>5374</v>
      </c>
      <c r="E948" t="s">
        <v>5730</v>
      </c>
      <c r="F948" t="s">
        <v>5731</v>
      </c>
      <c r="G948">
        <v>2808</v>
      </c>
      <c r="H948" t="s">
        <v>951</v>
      </c>
      <c r="I948" t="s">
        <v>6258</v>
      </c>
      <c r="J948" s="1442">
        <v>46256</v>
      </c>
      <c r="K948" s="1442">
        <v>46302</v>
      </c>
      <c r="L948" s="1442"/>
      <c r="M948" s="1442"/>
      <c r="N948" t="s">
        <v>2434</v>
      </c>
      <c r="O948" s="1442">
        <v>46310</v>
      </c>
      <c r="P948" s="1442">
        <v>46310</v>
      </c>
    </row>
    <row r="949" spans="1:16">
      <c r="A949" t="s">
        <v>6469</v>
      </c>
      <c r="B949" t="s">
        <v>64</v>
      </c>
      <c r="C949" t="s">
        <v>100</v>
      </c>
      <c r="D949" t="s">
        <v>5374</v>
      </c>
      <c r="E949" t="s">
        <v>5375</v>
      </c>
      <c r="F949" t="s">
        <v>5376</v>
      </c>
      <c r="G949">
        <v>1872</v>
      </c>
      <c r="H949" t="s">
        <v>951</v>
      </c>
      <c r="I949" t="s">
        <v>6470</v>
      </c>
      <c r="J949" s="1442">
        <v>46264</v>
      </c>
      <c r="K949" s="1442">
        <v>46305</v>
      </c>
      <c r="L949" s="1442"/>
      <c r="M949" s="1442"/>
      <c r="N949" t="s">
        <v>2434</v>
      </c>
      <c r="O949" s="1442">
        <v>46312</v>
      </c>
      <c r="P949" s="1442">
        <v>46312</v>
      </c>
    </row>
    <row r="950" spans="1:16">
      <c r="A950" t="s">
        <v>6580</v>
      </c>
      <c r="B950" t="s">
        <v>144</v>
      </c>
      <c r="C950" t="s">
        <v>145</v>
      </c>
      <c r="D950" t="s">
        <v>4526</v>
      </c>
      <c r="E950" t="s">
        <v>1151</v>
      </c>
      <c r="F950" t="s">
        <v>421</v>
      </c>
      <c r="G950">
        <v>1728</v>
      </c>
      <c r="H950" t="s">
        <v>951</v>
      </c>
      <c r="I950" t="s">
        <v>6581</v>
      </c>
      <c r="J950" s="1442">
        <v>46268</v>
      </c>
      <c r="K950" s="1442">
        <v>46323</v>
      </c>
      <c r="L950" s="1442">
        <v>46323.25</v>
      </c>
      <c r="M950" s="1442" t="s">
        <v>2521</v>
      </c>
      <c r="N950" t="s">
        <v>973</v>
      </c>
      <c r="O950" s="1442">
        <v>46323</v>
      </c>
      <c r="P950" s="1442">
        <v>46323.25</v>
      </c>
    </row>
    <row r="951" spans="1:16">
      <c r="A951" t="s">
        <v>6079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6080</v>
      </c>
      <c r="J951" s="1442">
        <v>46256</v>
      </c>
      <c r="K951" s="1442">
        <v>46302</v>
      </c>
      <c r="L951" s="1442"/>
      <c r="M951" s="1442"/>
      <c r="N951" t="s">
        <v>2434</v>
      </c>
      <c r="O951" s="1442">
        <v>46310</v>
      </c>
      <c r="P951" s="1442">
        <v>46310</v>
      </c>
    </row>
    <row r="952" spans="1:16">
      <c r="A952" t="s">
        <v>6252</v>
      </c>
      <c r="B952" t="s">
        <v>64</v>
      </c>
      <c r="C952" t="s">
        <v>65</v>
      </c>
      <c r="D952" t="s">
        <v>5374</v>
      </c>
      <c r="E952" t="s">
        <v>6253</v>
      </c>
      <c r="F952" t="s">
        <v>6254</v>
      </c>
      <c r="G952">
        <v>3744</v>
      </c>
      <c r="H952" t="s">
        <v>951</v>
      </c>
      <c r="I952" t="s">
        <v>6255</v>
      </c>
      <c r="J952" s="1442">
        <v>46256</v>
      </c>
      <c r="K952" s="1442">
        <v>46302</v>
      </c>
      <c r="L952" s="1442"/>
      <c r="M952" s="1442"/>
      <c r="N952" t="s">
        <v>2434</v>
      </c>
      <c r="O952" s="1442">
        <v>46310</v>
      </c>
      <c r="P952" s="1442">
        <v>46310</v>
      </c>
    </row>
    <row r="953" spans="1:16">
      <c r="A953" t="s">
        <v>6418</v>
      </c>
      <c r="B953" t="s">
        <v>144</v>
      </c>
      <c r="C953" t="s">
        <v>145</v>
      </c>
      <c r="D953" t="s">
        <v>5374</v>
      </c>
      <c r="E953" t="s">
        <v>6253</v>
      </c>
      <c r="F953" t="s">
        <v>6254</v>
      </c>
      <c r="G953">
        <v>1872</v>
      </c>
      <c r="H953" t="s">
        <v>951</v>
      </c>
      <c r="I953" t="s">
        <v>6422</v>
      </c>
      <c r="J953" s="1442">
        <v>46269</v>
      </c>
      <c r="K953" s="1442">
        <v>46313</v>
      </c>
      <c r="L953" s="1442">
        <v>46328</v>
      </c>
      <c r="M953" s="1442"/>
      <c r="N953" t="s">
        <v>973</v>
      </c>
      <c r="O953" s="1442">
        <v>46313</v>
      </c>
      <c r="P953" s="1442">
        <v>46328</v>
      </c>
    </row>
    <row r="954" spans="1:16">
      <c r="A954" t="s">
        <v>6435</v>
      </c>
      <c r="B954" t="s">
        <v>144</v>
      </c>
      <c r="C954" t="s">
        <v>145</v>
      </c>
      <c r="D954" t="s">
        <v>4526</v>
      </c>
      <c r="E954" t="s">
        <v>6207</v>
      </c>
      <c r="F954" t="s">
        <v>330</v>
      </c>
      <c r="G954">
        <v>2160</v>
      </c>
      <c r="H954" t="s">
        <v>951</v>
      </c>
      <c r="I954" t="s">
        <v>6436</v>
      </c>
      <c r="J954" s="1442">
        <v>46267</v>
      </c>
      <c r="K954" s="1442">
        <v>46302</v>
      </c>
      <c r="L954" s="1442">
        <v>46309.333333333336</v>
      </c>
      <c r="M954" s="1442" t="s">
        <v>2521</v>
      </c>
      <c r="N954" t="s">
        <v>973</v>
      </c>
      <c r="O954" s="1442">
        <v>46305</v>
      </c>
      <c r="P954" s="1442">
        <v>46309.333333333336</v>
      </c>
    </row>
    <row r="955" spans="1:16">
      <c r="A955" t="s">
        <v>6439</v>
      </c>
      <c r="B955" t="s">
        <v>144</v>
      </c>
      <c r="C955" t="s">
        <v>145</v>
      </c>
      <c r="D955" t="s">
        <v>4526</v>
      </c>
      <c r="E955" t="s">
        <v>6207</v>
      </c>
      <c r="F955" t="s">
        <v>330</v>
      </c>
      <c r="G955">
        <v>7920</v>
      </c>
      <c r="H955" t="s">
        <v>951</v>
      </c>
      <c r="I955" t="s">
        <v>6440</v>
      </c>
      <c r="J955" s="1442">
        <v>46268</v>
      </c>
      <c r="K955" s="1442">
        <v>46303</v>
      </c>
      <c r="L955" s="1442"/>
      <c r="M955" s="1442" t="s">
        <v>2521</v>
      </c>
      <c r="N955" t="s">
        <v>973</v>
      </c>
      <c r="O955" s="1442">
        <v>46303</v>
      </c>
      <c r="P955" s="1442">
        <v>46303</v>
      </c>
    </row>
    <row r="956" spans="1:16">
      <c r="A956" t="s">
        <v>6448</v>
      </c>
      <c r="B956" t="s">
        <v>144</v>
      </c>
      <c r="C956" t="s">
        <v>145</v>
      </c>
      <c r="D956" t="s">
        <v>4526</v>
      </c>
      <c r="E956" t="s">
        <v>6207</v>
      </c>
      <c r="F956" t="s">
        <v>330</v>
      </c>
      <c r="G956">
        <v>3600</v>
      </c>
      <c r="H956" t="s">
        <v>951</v>
      </c>
      <c r="I956" t="s">
        <v>6449</v>
      </c>
      <c r="J956" s="1442">
        <v>46264</v>
      </c>
      <c r="K956" s="1442">
        <v>46305</v>
      </c>
      <c r="L956" s="1442"/>
      <c r="M956" s="1442"/>
      <c r="N956" t="s">
        <v>973</v>
      </c>
      <c r="O956" s="1442">
        <v>46305</v>
      </c>
      <c r="P956" s="1442">
        <v>46305</v>
      </c>
    </row>
    <row r="957" spans="1:16">
      <c r="A957" t="s">
        <v>6453</v>
      </c>
      <c r="B957" t="s">
        <v>144</v>
      </c>
      <c r="C957" t="s">
        <v>145</v>
      </c>
      <c r="D957" t="s">
        <v>4526</v>
      </c>
      <c r="E957" t="s">
        <v>6207</v>
      </c>
      <c r="F957" t="s">
        <v>330</v>
      </c>
      <c r="G957">
        <v>3600</v>
      </c>
      <c r="H957" t="s">
        <v>951</v>
      </c>
      <c r="I957" t="s">
        <v>6454</v>
      </c>
      <c r="J957" s="1442">
        <v>46264</v>
      </c>
      <c r="K957" s="1442">
        <v>46305</v>
      </c>
      <c r="L957" s="1442"/>
      <c r="M957" s="1442"/>
      <c r="N957" t="s">
        <v>973</v>
      </c>
      <c r="O957" s="1442">
        <v>46305</v>
      </c>
      <c r="P957" s="1442">
        <v>46305</v>
      </c>
    </row>
    <row r="958" spans="1:16">
      <c r="A958" t="s">
        <v>6456</v>
      </c>
      <c r="B958" t="s">
        <v>144</v>
      </c>
      <c r="C958" t="s">
        <v>145</v>
      </c>
      <c r="D958" t="s">
        <v>4526</v>
      </c>
      <c r="E958" t="s">
        <v>6207</v>
      </c>
      <c r="F958" t="s">
        <v>330</v>
      </c>
      <c r="G958">
        <v>3600</v>
      </c>
      <c r="H958" t="s">
        <v>951</v>
      </c>
      <c r="I958" t="s">
        <v>6457</v>
      </c>
      <c r="J958" s="1442">
        <v>46264</v>
      </c>
      <c r="K958" s="1442">
        <v>46305</v>
      </c>
      <c r="L958" s="1442"/>
      <c r="M958" s="1442"/>
      <c r="N958" t="s">
        <v>973</v>
      </c>
      <c r="O958" s="1442">
        <v>46305</v>
      </c>
      <c r="P958" s="1442">
        <v>46305</v>
      </c>
    </row>
    <row r="959" spans="1:16">
      <c r="A959" t="s">
        <v>6460</v>
      </c>
      <c r="B959" t="s">
        <v>144</v>
      </c>
      <c r="C959" t="s">
        <v>145</v>
      </c>
      <c r="D959" t="s">
        <v>4526</v>
      </c>
      <c r="E959" t="s">
        <v>6444</v>
      </c>
      <c r="F959" t="s">
        <v>4593</v>
      </c>
      <c r="G959">
        <v>720</v>
      </c>
      <c r="H959" t="s">
        <v>951</v>
      </c>
      <c r="I959" t="s">
        <v>6461</v>
      </c>
      <c r="J959" s="1442">
        <v>46264</v>
      </c>
      <c r="K959" s="1442">
        <v>46305</v>
      </c>
      <c r="L959" s="1442"/>
      <c r="M959" s="1442"/>
      <c r="N959" t="s">
        <v>973</v>
      </c>
      <c r="O959" s="1442">
        <v>46305</v>
      </c>
      <c r="P959" s="1442">
        <v>46305</v>
      </c>
    </row>
    <row r="960" spans="1:16">
      <c r="A960" t="s">
        <v>6465</v>
      </c>
      <c r="B960" t="s">
        <v>144</v>
      </c>
      <c r="C960" t="s">
        <v>145</v>
      </c>
      <c r="D960" t="s">
        <v>4526</v>
      </c>
      <c r="E960" t="s">
        <v>6466</v>
      </c>
      <c r="F960" t="s">
        <v>103</v>
      </c>
      <c r="G960">
        <v>1440</v>
      </c>
      <c r="H960" t="s">
        <v>951</v>
      </c>
      <c r="I960" t="s">
        <v>6468</v>
      </c>
      <c r="J960" s="1442">
        <v>46264</v>
      </c>
      <c r="K960" s="1442">
        <v>46305</v>
      </c>
      <c r="L960" s="1442"/>
      <c r="M960" s="1442"/>
      <c r="N960" t="s">
        <v>973</v>
      </c>
      <c r="O960" s="1442">
        <v>46305</v>
      </c>
      <c r="P960" s="1442">
        <v>46305</v>
      </c>
    </row>
    <row r="961" spans="1:16">
      <c r="A961" t="s">
        <v>6443</v>
      </c>
      <c r="B961" t="s">
        <v>144</v>
      </c>
      <c r="C961" t="s">
        <v>145</v>
      </c>
      <c r="D961" t="s">
        <v>4526</v>
      </c>
      <c r="E961" t="s">
        <v>6444</v>
      </c>
      <c r="F961" t="s">
        <v>4593</v>
      </c>
      <c r="G961">
        <v>5760</v>
      </c>
      <c r="H961" t="s">
        <v>951</v>
      </c>
      <c r="I961" t="s">
        <v>6445</v>
      </c>
      <c r="J961" s="1442">
        <v>46270</v>
      </c>
      <c r="K961" s="1442">
        <v>46302</v>
      </c>
      <c r="L961" s="1442"/>
      <c r="M961" s="1442"/>
      <c r="N961" t="s">
        <v>973</v>
      </c>
      <c r="O961" s="1442">
        <v>46302</v>
      </c>
      <c r="P961" s="1442">
        <v>46302</v>
      </c>
    </row>
    <row r="962" spans="1:16">
      <c r="A962" t="s">
        <v>6246</v>
      </c>
      <c r="B962" t="s">
        <v>144</v>
      </c>
      <c r="C962" t="s">
        <v>145</v>
      </c>
      <c r="D962" t="s">
        <v>284</v>
      </c>
      <c r="E962" t="s">
        <v>5846</v>
      </c>
      <c r="F962" t="s">
        <v>5847</v>
      </c>
      <c r="G962">
        <v>936</v>
      </c>
      <c r="H962" t="s">
        <v>951</v>
      </c>
      <c r="I962" t="s">
        <v>6248</v>
      </c>
      <c r="J962" s="1442">
        <v>46253</v>
      </c>
      <c r="K962" s="1442">
        <v>46304</v>
      </c>
      <c r="L962" s="1442"/>
      <c r="M962" s="1442" t="s">
        <v>2521</v>
      </c>
      <c r="N962" t="s">
        <v>973</v>
      </c>
      <c r="O962" s="1442">
        <v>46304</v>
      </c>
      <c r="P962" s="1442">
        <v>46304</v>
      </c>
    </row>
    <row r="963" spans="1:16">
      <c r="A963" t="s">
        <v>6052</v>
      </c>
      <c r="B963" t="s">
        <v>144</v>
      </c>
      <c r="C963" t="s">
        <v>145</v>
      </c>
      <c r="D963" t="s">
        <v>4526</v>
      </c>
      <c r="E963" t="s">
        <v>4592</v>
      </c>
      <c r="F963" t="s">
        <v>4593</v>
      </c>
      <c r="G963">
        <v>4320</v>
      </c>
      <c r="H963" t="s">
        <v>951</v>
      </c>
      <c r="I963" t="s">
        <v>6053</v>
      </c>
      <c r="J963" s="1442">
        <v>46249</v>
      </c>
      <c r="K963" s="1442">
        <v>46282</v>
      </c>
      <c r="L963" s="1442">
        <v>46284.427083333336</v>
      </c>
      <c r="M963" s="1442" t="s">
        <v>2521</v>
      </c>
      <c r="N963" t="s">
        <v>973</v>
      </c>
      <c r="O963" s="1442">
        <v>46300</v>
      </c>
      <c r="P963" s="1442">
        <v>46284.427083333336</v>
      </c>
    </row>
    <row r="964" spans="1:16">
      <c r="A964" t="s">
        <v>6496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 t="s">
        <v>6497</v>
      </c>
      <c r="J964" s="1442">
        <v>46274</v>
      </c>
      <c r="K964" s="1442">
        <v>46316</v>
      </c>
      <c r="L964" s="1442">
        <v>46323.5625</v>
      </c>
      <c r="M964" s="1442" t="s">
        <v>2521</v>
      </c>
      <c r="N964" t="s">
        <v>2434</v>
      </c>
      <c r="O964" s="1442">
        <v>46329</v>
      </c>
      <c r="P964" s="1442">
        <v>46333.5625</v>
      </c>
    </row>
    <row r="965" spans="1:16">
      <c r="A965" t="s">
        <v>6430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 t="s">
        <v>6431</v>
      </c>
      <c r="J965" s="1442">
        <v>46267</v>
      </c>
      <c r="K965" s="1442">
        <v>46302</v>
      </c>
      <c r="L965" s="1442">
        <v>46309.333333333336</v>
      </c>
      <c r="M965" s="1442" t="s">
        <v>2521</v>
      </c>
      <c r="N965" t="s">
        <v>2434</v>
      </c>
      <c r="O965" s="1442">
        <v>46311</v>
      </c>
      <c r="P965" s="1442">
        <v>46316.333333333336</v>
      </c>
    </row>
    <row r="966" spans="1:16">
      <c r="A966" t="s">
        <v>6557</v>
      </c>
      <c r="B966" t="s">
        <v>144</v>
      </c>
      <c r="C966" t="s">
        <v>145</v>
      </c>
      <c r="D966" t="s">
        <v>284</v>
      </c>
      <c r="E966" t="s">
        <v>5846</v>
      </c>
      <c r="F966" t="s">
        <v>5847</v>
      </c>
      <c r="G966">
        <v>1872</v>
      </c>
      <c r="H966" t="s">
        <v>2521</v>
      </c>
      <c r="I966" t="s">
        <v>6558</v>
      </c>
      <c r="J966" s="1442">
        <v>46267</v>
      </c>
      <c r="K966" s="1442">
        <v>46309</v>
      </c>
      <c r="L966" s="1442">
        <v>46311</v>
      </c>
      <c r="M966" s="1442"/>
      <c r="N966" t="s">
        <v>973</v>
      </c>
      <c r="O966" s="1442">
        <v>46309</v>
      </c>
      <c r="P966" s="1442">
        <v>46311</v>
      </c>
    </row>
    <row r="967" spans="1:16">
      <c r="A967" t="s">
        <v>6328</v>
      </c>
      <c r="B967" t="s">
        <v>144</v>
      </c>
      <c r="C967" t="s">
        <v>145</v>
      </c>
      <c r="D967" t="s">
        <v>284</v>
      </c>
      <c r="E967" t="s">
        <v>5846</v>
      </c>
      <c r="F967" t="s">
        <v>5847</v>
      </c>
      <c r="G967">
        <v>4680</v>
      </c>
      <c r="H967" t="s">
        <v>951</v>
      </c>
      <c r="I967" t="s">
        <v>6329</v>
      </c>
      <c r="J967" s="1442">
        <v>46259</v>
      </c>
      <c r="K967" s="1442">
        <v>46304</v>
      </c>
      <c r="L967" s="1442"/>
      <c r="M967" s="1442" t="s">
        <v>2521</v>
      </c>
      <c r="N967" t="s">
        <v>973</v>
      </c>
      <c r="O967" s="1442">
        <v>46304</v>
      </c>
      <c r="P967" s="1442">
        <v>46304</v>
      </c>
    </row>
    <row r="968" spans="1:16">
      <c r="A968" t="s">
        <v>6426</v>
      </c>
      <c r="B968" t="s">
        <v>64</v>
      </c>
      <c r="C968" t="s">
        <v>450</v>
      </c>
      <c r="D968" t="s">
        <v>284</v>
      </c>
      <c r="E968" t="s">
        <v>5846</v>
      </c>
      <c r="F968" t="s">
        <v>5847</v>
      </c>
      <c r="G968">
        <v>2808</v>
      </c>
      <c r="H968" t="s">
        <v>2521</v>
      </c>
      <c r="I968" t="s">
        <v>6427</v>
      </c>
      <c r="J968" s="1442">
        <v>46269</v>
      </c>
      <c r="K968" s="1442">
        <v>46306</v>
      </c>
      <c r="L968" s="1442"/>
      <c r="M968" s="1442" t="s">
        <v>2521</v>
      </c>
      <c r="N968" t="s">
        <v>2434</v>
      </c>
      <c r="O968" s="1442">
        <v>46314</v>
      </c>
      <c r="P968" s="1442">
        <v>46313</v>
      </c>
    </row>
    <row r="969" spans="1:16">
      <c r="A969" t="s">
        <v>6500</v>
      </c>
      <c r="B969" t="s">
        <v>64</v>
      </c>
      <c r="C969" t="s">
        <v>65</v>
      </c>
      <c r="D969" t="s">
        <v>5374</v>
      </c>
      <c r="E969" t="s">
        <v>5730</v>
      </c>
      <c r="F969" t="s">
        <v>5731</v>
      </c>
      <c r="G969">
        <v>2808</v>
      </c>
      <c r="H969" t="s">
        <v>951</v>
      </c>
      <c r="I969" t="s">
        <v>6501</v>
      </c>
      <c r="J969" s="1442">
        <v>46268</v>
      </c>
      <c r="K969" s="1442">
        <v>46309</v>
      </c>
      <c r="L969" s="1442"/>
      <c r="M969" s="1442" t="s">
        <v>2521</v>
      </c>
      <c r="N969" t="s">
        <v>2434</v>
      </c>
      <c r="O969" s="1442">
        <v>46317</v>
      </c>
      <c r="P969" s="1442">
        <v>46317</v>
      </c>
    </row>
    <row r="970" spans="1:16">
      <c r="A970" t="s">
        <v>6533</v>
      </c>
      <c r="B970" t="s">
        <v>64</v>
      </c>
      <c r="C970" t="s">
        <v>114</v>
      </c>
      <c r="D970" t="s">
        <v>5331</v>
      </c>
      <c r="E970" t="s">
        <v>5550</v>
      </c>
      <c r="F970" t="s">
        <v>5551</v>
      </c>
      <c r="G970">
        <v>1440</v>
      </c>
      <c r="H970" t="s">
        <v>951</v>
      </c>
      <c r="I970" t="s">
        <v>6534</v>
      </c>
      <c r="J970" s="1442">
        <v>46268</v>
      </c>
      <c r="K970" s="1442">
        <v>46303</v>
      </c>
      <c r="L970" s="1442"/>
      <c r="M970" s="1442" t="s">
        <v>2521</v>
      </c>
      <c r="N970" t="s">
        <v>2434</v>
      </c>
      <c r="O970" s="1442">
        <v>46311</v>
      </c>
      <c r="P970" s="1442">
        <v>46312</v>
      </c>
    </row>
    <row r="971" spans="1:16">
      <c r="A971" t="s">
        <v>6573</v>
      </c>
      <c r="B971" t="s">
        <v>64</v>
      </c>
      <c r="C971" t="s">
        <v>100</v>
      </c>
      <c r="D971" t="s">
        <v>4526</v>
      </c>
      <c r="E971" t="s">
        <v>71</v>
      </c>
      <c r="F971" t="s">
        <v>72</v>
      </c>
      <c r="G971">
        <v>4320</v>
      </c>
      <c r="I971" t="s">
        <v>6574</v>
      </c>
      <c r="J971" s="1442">
        <v>46268</v>
      </c>
      <c r="K971" s="1442">
        <v>46313</v>
      </c>
      <c r="L971" s="1442">
        <v>46314.833333333336</v>
      </c>
      <c r="M971" s="1442" t="s">
        <v>2521</v>
      </c>
      <c r="N971" t="s">
        <v>2434</v>
      </c>
      <c r="O971" s="1442">
        <v>46321</v>
      </c>
      <c r="P971" s="1442">
        <v>46321.833333333336</v>
      </c>
    </row>
    <row r="972" spans="1:16">
      <c r="A972" t="s">
        <v>6568</v>
      </c>
      <c r="B972" t="s">
        <v>64</v>
      </c>
      <c r="C972" t="s">
        <v>65</v>
      </c>
      <c r="D972" t="s">
        <v>4526</v>
      </c>
      <c r="E972" t="s">
        <v>71</v>
      </c>
      <c r="F972" t="s">
        <v>72</v>
      </c>
      <c r="G972">
        <v>864</v>
      </c>
      <c r="H972" t="s">
        <v>951</v>
      </c>
      <c r="I972" t="s">
        <v>6569</v>
      </c>
      <c r="J972" s="1442">
        <v>46268</v>
      </c>
      <c r="K972" s="1442">
        <v>46316</v>
      </c>
      <c r="L972" s="1442">
        <v>46309.25</v>
      </c>
      <c r="M972" s="1442" t="s">
        <v>2521</v>
      </c>
      <c r="N972" t="s">
        <v>2434</v>
      </c>
      <c r="O972" s="1442">
        <v>46317</v>
      </c>
      <c r="P972" s="1442">
        <v>46317.25</v>
      </c>
    </row>
    <row r="973" spans="1:16">
      <c r="A973" t="s">
        <v>6578</v>
      </c>
      <c r="B973" t="s">
        <v>64</v>
      </c>
      <c r="C973" t="s">
        <v>100</v>
      </c>
      <c r="D973" t="s">
        <v>4526</v>
      </c>
      <c r="E973" t="s">
        <v>1151</v>
      </c>
      <c r="F973" t="s">
        <v>421</v>
      </c>
      <c r="G973">
        <v>2592</v>
      </c>
      <c r="H973" t="s">
        <v>951</v>
      </c>
      <c r="I973" t="s">
        <v>6579</v>
      </c>
      <c r="J973" s="1442">
        <v>46268</v>
      </c>
      <c r="K973" s="1442">
        <v>46313</v>
      </c>
      <c r="L973" s="1442">
        <v>46314.833333333336</v>
      </c>
      <c r="M973" s="1442" t="s">
        <v>2521</v>
      </c>
      <c r="N973" t="s">
        <v>2434</v>
      </c>
      <c r="O973" s="1442">
        <v>46321</v>
      </c>
      <c r="P973" s="1442">
        <v>46321.833333333336</v>
      </c>
    </row>
    <row r="974" spans="1:16">
      <c r="A974" t="s">
        <v>6295</v>
      </c>
      <c r="B974" t="s">
        <v>144</v>
      </c>
      <c r="C974" t="s">
        <v>145</v>
      </c>
      <c r="D974" t="s">
        <v>4526</v>
      </c>
      <c r="E974" t="s">
        <v>1151</v>
      </c>
      <c r="F974" t="s">
        <v>421</v>
      </c>
      <c r="G974">
        <v>864</v>
      </c>
      <c r="H974" t="s">
        <v>951</v>
      </c>
      <c r="I974" t="s">
        <v>6297</v>
      </c>
      <c r="J974" s="1442">
        <v>46261</v>
      </c>
      <c r="K974" s="1442">
        <v>46307</v>
      </c>
      <c r="L974" s="1442">
        <v>46317.75</v>
      </c>
      <c r="M974" s="1442" t="s">
        <v>2521</v>
      </c>
      <c r="N974" t="s">
        <v>973</v>
      </c>
      <c r="O974" s="1442">
        <v>46311</v>
      </c>
      <c r="P974" s="1442">
        <v>46317.75</v>
      </c>
    </row>
    <row r="975" spans="1:16">
      <c r="A975" t="s">
        <v>6488</v>
      </c>
      <c r="B975" t="s">
        <v>144</v>
      </c>
      <c r="C975" t="s">
        <v>145</v>
      </c>
      <c r="D975" t="s">
        <v>4526</v>
      </c>
      <c r="E975" t="s">
        <v>6207</v>
      </c>
      <c r="F975" t="s">
        <v>330</v>
      </c>
      <c r="G975">
        <v>7920</v>
      </c>
      <c r="H975" t="s">
        <v>951</v>
      </c>
      <c r="I975" t="s">
        <v>6491</v>
      </c>
      <c r="J975" s="1442">
        <v>46276</v>
      </c>
      <c r="K975" s="1442">
        <v>46314</v>
      </c>
      <c r="L975" s="1442"/>
      <c r="M975" s="1442"/>
      <c r="N975" t="s">
        <v>973</v>
      </c>
      <c r="O975" s="1442">
        <v>46314</v>
      </c>
      <c r="P975" s="1442">
        <v>46314</v>
      </c>
    </row>
    <row r="976" spans="1:16">
      <c r="A976" t="s">
        <v>6526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 t="s">
        <v>6527</v>
      </c>
      <c r="J976" s="1442">
        <v>46274</v>
      </c>
      <c r="K976" s="1442">
        <v>46321</v>
      </c>
      <c r="L976" s="1442"/>
      <c r="M976" s="1442" t="s">
        <v>2521</v>
      </c>
      <c r="N976" t="s">
        <v>2434</v>
      </c>
      <c r="O976" s="1442">
        <v>46329</v>
      </c>
      <c r="P976" s="1442">
        <v>46329</v>
      </c>
    </row>
    <row r="977" spans="1:16">
      <c r="A977" t="s">
        <v>6589</v>
      </c>
      <c r="B977" t="s">
        <v>64</v>
      </c>
      <c r="C977" t="s">
        <v>310</v>
      </c>
      <c r="D977" t="s">
        <v>284</v>
      </c>
      <c r="E977" t="s">
        <v>6157</v>
      </c>
      <c r="F977" t="s">
        <v>1570</v>
      </c>
      <c r="G977">
        <v>720</v>
      </c>
      <c r="H977" t="s">
        <v>951</v>
      </c>
      <c r="I977" t="s">
        <v>6590</v>
      </c>
      <c r="J977" s="1442">
        <v>46268</v>
      </c>
      <c r="K977" s="1442">
        <v>46334</v>
      </c>
      <c r="L977" s="1442"/>
      <c r="M977" s="1442"/>
      <c r="N977" t="s">
        <v>2434</v>
      </c>
      <c r="O977" s="1442">
        <v>46346</v>
      </c>
      <c r="P977" s="1442">
        <v>46344</v>
      </c>
    </row>
    <row r="978" spans="1:16">
      <c r="A978" t="s">
        <v>6584</v>
      </c>
      <c r="B978" t="s">
        <v>64</v>
      </c>
      <c r="C978" t="s">
        <v>65</v>
      </c>
      <c r="D978" t="s">
        <v>4526</v>
      </c>
      <c r="E978" t="s">
        <v>691</v>
      </c>
      <c r="F978" t="s">
        <v>692</v>
      </c>
      <c r="G978">
        <v>3456</v>
      </c>
      <c r="H978" t="s">
        <v>951</v>
      </c>
      <c r="I978" t="s">
        <v>6586</v>
      </c>
      <c r="J978" s="1442">
        <v>46268</v>
      </c>
      <c r="K978" s="1442">
        <v>46335</v>
      </c>
      <c r="L978" s="1442">
        <v>46335.791666666664</v>
      </c>
      <c r="M978" s="1442" t="s">
        <v>2521</v>
      </c>
      <c r="N978" t="s">
        <v>2434</v>
      </c>
      <c r="O978" s="1442">
        <v>46343</v>
      </c>
      <c r="P978" s="1442">
        <v>46343.791666666664</v>
      </c>
    </row>
    <row r="979" spans="1:16">
      <c r="A979" t="s">
        <v>6593</v>
      </c>
      <c r="B979" t="s">
        <v>64</v>
      </c>
      <c r="C979" t="s">
        <v>100</v>
      </c>
      <c r="D979" t="s">
        <v>284</v>
      </c>
      <c r="E979" t="s">
        <v>6157</v>
      </c>
      <c r="F979" t="s">
        <v>1570</v>
      </c>
      <c r="G979">
        <v>1440</v>
      </c>
      <c r="H979" t="s">
        <v>951</v>
      </c>
      <c r="I979" t="s">
        <v>6594</v>
      </c>
      <c r="J979" s="1442">
        <v>46267</v>
      </c>
      <c r="K979" s="1442">
        <v>46335</v>
      </c>
      <c r="L979" s="1442"/>
      <c r="M979" s="1442"/>
      <c r="N979" t="s">
        <v>2434</v>
      </c>
      <c r="O979" s="1442">
        <v>46342</v>
      </c>
      <c r="P979" s="1442">
        <v>46342</v>
      </c>
    </row>
    <row r="980" spans="1:16">
      <c r="A980" t="s">
        <v>6278</v>
      </c>
      <c r="B980" t="s">
        <v>144</v>
      </c>
      <c r="C980" t="s">
        <v>145</v>
      </c>
      <c r="D980" t="s">
        <v>284</v>
      </c>
      <c r="E980" t="s">
        <v>6181</v>
      </c>
      <c r="F980" t="s">
        <v>6182</v>
      </c>
      <c r="G980">
        <v>936</v>
      </c>
      <c r="H980" t="s">
        <v>951</v>
      </c>
      <c r="I980" t="s">
        <v>6282</v>
      </c>
      <c r="J980" s="1442">
        <v>46262</v>
      </c>
      <c r="K980" s="1442">
        <v>46299</v>
      </c>
      <c r="L980" s="1442">
        <v>46308.625</v>
      </c>
      <c r="M980" s="1442" t="s">
        <v>2521</v>
      </c>
      <c r="N980" t="s">
        <v>973</v>
      </c>
      <c r="O980" s="1442">
        <v>46307</v>
      </c>
      <c r="P980" s="1442">
        <v>46308.625</v>
      </c>
    </row>
    <row r="981" spans="1:16">
      <c r="A981" t="s">
        <v>6286</v>
      </c>
      <c r="B981" t="s">
        <v>64</v>
      </c>
      <c r="C981" t="s">
        <v>450</v>
      </c>
      <c r="D981" t="s">
        <v>284</v>
      </c>
      <c r="E981" t="s">
        <v>6181</v>
      </c>
      <c r="F981" t="s">
        <v>6182</v>
      </c>
      <c r="G981">
        <v>1872</v>
      </c>
      <c r="H981" t="s">
        <v>951</v>
      </c>
      <c r="I981" t="s">
        <v>6288</v>
      </c>
      <c r="J981" s="1442">
        <v>46260</v>
      </c>
      <c r="K981" s="1442">
        <v>46299</v>
      </c>
      <c r="L981" s="1442">
        <v>46308.625</v>
      </c>
      <c r="M981" s="1442" t="s">
        <v>2521</v>
      </c>
      <c r="N981" t="s">
        <v>2434</v>
      </c>
      <c r="O981" s="1442">
        <v>46314</v>
      </c>
      <c r="P981" s="1442">
        <v>46315.625</v>
      </c>
    </row>
    <row r="982" spans="1:16">
      <c r="A982" t="s">
        <v>6563</v>
      </c>
      <c r="B982" t="s">
        <v>64</v>
      </c>
      <c r="C982" t="s">
        <v>450</v>
      </c>
      <c r="D982" t="s">
        <v>284</v>
      </c>
      <c r="E982" t="s">
        <v>6181</v>
      </c>
      <c r="F982" t="s">
        <v>6182</v>
      </c>
      <c r="G982">
        <v>2808</v>
      </c>
      <c r="H982" t="s">
        <v>951</v>
      </c>
      <c r="I982" t="s">
        <v>6564</v>
      </c>
      <c r="J982" s="1442">
        <v>46269</v>
      </c>
      <c r="K982" s="1442">
        <v>46306</v>
      </c>
      <c r="L982" s="1442">
        <v>46308.625</v>
      </c>
      <c r="M982" s="1442" t="s">
        <v>2521</v>
      </c>
      <c r="N982" t="s">
        <v>2434</v>
      </c>
      <c r="O982" s="1442">
        <v>46314</v>
      </c>
      <c r="P982" s="1442">
        <v>46315.625</v>
      </c>
    </row>
    <row r="983" spans="1:16">
      <c r="A983" t="s">
        <v>6598</v>
      </c>
      <c r="B983" t="s">
        <v>64</v>
      </c>
      <c r="C983" t="s">
        <v>100</v>
      </c>
      <c r="D983" t="s">
        <v>4526</v>
      </c>
      <c r="E983" t="s">
        <v>1151</v>
      </c>
      <c r="F983" t="s">
        <v>421</v>
      </c>
      <c r="G983">
        <v>864</v>
      </c>
      <c r="H983" t="s">
        <v>951</v>
      </c>
      <c r="I983" t="s">
        <v>6599</v>
      </c>
      <c r="J983" s="1442">
        <v>46267</v>
      </c>
      <c r="K983" s="1442">
        <v>46335</v>
      </c>
      <c r="L983" s="1442"/>
      <c r="M983" s="1442"/>
      <c r="N983" t="s">
        <v>2434</v>
      </c>
      <c r="O983" s="1442">
        <v>46342</v>
      </c>
      <c r="P983" s="1442">
        <v>46342</v>
      </c>
    </row>
    <row r="984" spans="1:16">
      <c r="A984" t="s">
        <v>6530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6532</v>
      </c>
      <c r="J984" s="1442">
        <v>46274</v>
      </c>
      <c r="K984" s="1442">
        <v>46321</v>
      </c>
      <c r="L984" s="1442"/>
      <c r="M984" s="1442"/>
      <c r="N984" t="s">
        <v>2434</v>
      </c>
      <c r="O984" s="1442">
        <v>46329</v>
      </c>
      <c r="P984" s="1442">
        <v>46329</v>
      </c>
    </row>
    <row r="985" spans="1:16">
      <c r="A985" t="s">
        <v>5885</v>
      </c>
      <c r="B985" t="s">
        <v>144</v>
      </c>
      <c r="C985" t="s">
        <v>145</v>
      </c>
      <c r="D985" t="s">
        <v>4526</v>
      </c>
      <c r="E985" t="s">
        <v>4592</v>
      </c>
      <c r="F985" t="s">
        <v>4593</v>
      </c>
      <c r="G985">
        <v>2160</v>
      </c>
      <c r="H985" t="s">
        <v>951</v>
      </c>
      <c r="I985" t="s">
        <v>5888</v>
      </c>
      <c r="J985" s="1442">
        <v>46237</v>
      </c>
      <c r="K985" s="1442">
        <v>46274</v>
      </c>
      <c r="L985" s="1442">
        <v>46276</v>
      </c>
      <c r="M985" s="1442"/>
      <c r="N985" t="s">
        <v>973</v>
      </c>
      <c r="O985" s="1442">
        <v>46276</v>
      </c>
      <c r="P985" s="1442">
        <v>46276</v>
      </c>
    </row>
    <row r="986" spans="1:16">
      <c r="A986" t="s">
        <v>6549</v>
      </c>
      <c r="B986" t="s">
        <v>144</v>
      </c>
      <c r="C986" t="s">
        <v>145</v>
      </c>
      <c r="D986" t="s">
        <v>284</v>
      </c>
      <c r="E986" t="s">
        <v>5846</v>
      </c>
      <c r="F986" t="s">
        <v>5847</v>
      </c>
      <c r="G986">
        <v>936</v>
      </c>
      <c r="H986" t="s">
        <v>951</v>
      </c>
      <c r="I986" t="s">
        <v>6550</v>
      </c>
      <c r="J986" s="1442">
        <v>46267</v>
      </c>
      <c r="K986" s="1442">
        <v>46337</v>
      </c>
      <c r="L986" s="1442"/>
      <c r="M986" s="1442" t="s">
        <v>2521</v>
      </c>
      <c r="N986" t="s">
        <v>10240</v>
      </c>
      <c r="O986" s="1442" t="s">
        <v>2521</v>
      </c>
      <c r="P986" s="1442">
        <v>46337</v>
      </c>
    </row>
    <row r="987" spans="1:16">
      <c r="A987" t="s">
        <v>6553</v>
      </c>
      <c r="B987" t="s">
        <v>64</v>
      </c>
      <c r="C987" t="s">
        <v>100</v>
      </c>
      <c r="D987" t="s">
        <v>284</v>
      </c>
      <c r="E987" t="s">
        <v>5846</v>
      </c>
      <c r="F987" t="s">
        <v>5847</v>
      </c>
      <c r="G987">
        <v>4680</v>
      </c>
      <c r="H987" t="s">
        <v>951</v>
      </c>
      <c r="I987" t="s">
        <v>6554</v>
      </c>
      <c r="J987" s="1442">
        <v>46266</v>
      </c>
      <c r="K987" s="1442">
        <v>46305</v>
      </c>
      <c r="L987" s="1442">
        <v>46309.333333333336</v>
      </c>
      <c r="M987" s="1442" t="s">
        <v>2521</v>
      </c>
      <c r="N987" t="s">
        <v>10240</v>
      </c>
      <c r="O987" s="1442" t="s">
        <v>2521</v>
      </c>
      <c r="P987" s="1442">
        <v>46316.333333333336</v>
      </c>
    </row>
    <row r="988" spans="1:16">
      <c r="A988" t="s">
        <v>6473</v>
      </c>
      <c r="B988" t="s">
        <v>144</v>
      </c>
      <c r="C988" t="s">
        <v>145</v>
      </c>
      <c r="D988" t="s">
        <v>4526</v>
      </c>
      <c r="E988" t="s">
        <v>6466</v>
      </c>
      <c r="F988" t="s">
        <v>103</v>
      </c>
      <c r="G988">
        <v>2160</v>
      </c>
      <c r="H988" t="s">
        <v>951</v>
      </c>
      <c r="I988" t="s">
        <v>6474</v>
      </c>
      <c r="J988" s="1442">
        <v>46270</v>
      </c>
      <c r="K988" s="1442">
        <v>46302</v>
      </c>
      <c r="L988" s="1442"/>
      <c r="M988" s="1442"/>
      <c r="N988" t="s">
        <v>10240</v>
      </c>
      <c r="O988" s="1442" t="s">
        <v>2521</v>
      </c>
      <c r="P988" s="1442">
        <v>46302</v>
      </c>
    </row>
    <row r="989" spans="1:16">
      <c r="A989" t="s">
        <v>6634</v>
      </c>
      <c r="B989" t="s">
        <v>64</v>
      </c>
      <c r="C989" t="s">
        <v>114</v>
      </c>
      <c r="D989" t="s">
        <v>4526</v>
      </c>
      <c r="E989" t="s">
        <v>6207</v>
      </c>
      <c r="F989" t="s">
        <v>330</v>
      </c>
      <c r="G989">
        <v>1440</v>
      </c>
      <c r="H989" t="s">
        <v>951</v>
      </c>
      <c r="I989" t="s">
        <v>6635</v>
      </c>
      <c r="J989" s="1442">
        <v>46273</v>
      </c>
      <c r="K989" s="1442">
        <v>46317</v>
      </c>
      <c r="L989" s="1442"/>
      <c r="M989" s="1442" t="s">
        <v>2521</v>
      </c>
      <c r="N989" t="s">
        <v>10240</v>
      </c>
      <c r="O989" s="1442" t="s">
        <v>2521</v>
      </c>
      <c r="P989" s="1442">
        <v>46326</v>
      </c>
    </row>
    <row r="990" spans="1:16">
      <c r="A990" t="s">
        <v>6545</v>
      </c>
      <c r="B990" t="s">
        <v>64</v>
      </c>
      <c r="C990" t="s">
        <v>450</v>
      </c>
      <c r="D990" t="s">
        <v>284</v>
      </c>
      <c r="E990" t="s">
        <v>5846</v>
      </c>
      <c r="F990" t="s">
        <v>5847</v>
      </c>
      <c r="G990">
        <v>936</v>
      </c>
      <c r="H990" t="s">
        <v>951</v>
      </c>
      <c r="I990" t="s">
        <v>6546</v>
      </c>
      <c r="J990" s="1442">
        <v>46267</v>
      </c>
      <c r="K990" s="1442">
        <v>46337</v>
      </c>
      <c r="L990" s="1442"/>
      <c r="M990" s="1442" t="s">
        <v>2521</v>
      </c>
      <c r="N990" t="s">
        <v>10240</v>
      </c>
      <c r="O990" s="1442" t="s">
        <v>2521</v>
      </c>
      <c r="P990" s="1442">
        <v>46344</v>
      </c>
    </row>
    <row r="991" spans="1:16">
      <c r="A991" t="s">
        <v>6479</v>
      </c>
      <c r="B991" t="s">
        <v>64</v>
      </c>
      <c r="C991" t="s">
        <v>100</v>
      </c>
      <c r="D991" t="s">
        <v>5374</v>
      </c>
      <c r="E991" t="s">
        <v>5375</v>
      </c>
      <c r="F991" t="s">
        <v>5376</v>
      </c>
      <c r="G991">
        <v>1872</v>
      </c>
      <c r="H991" t="s">
        <v>951</v>
      </c>
      <c r="I991" t="s">
        <v>6480</v>
      </c>
      <c r="J991" s="1442">
        <v>46270</v>
      </c>
      <c r="K991" s="1442">
        <v>46302</v>
      </c>
      <c r="L991" s="1442"/>
      <c r="M991" s="1442"/>
      <c r="N991" t="s">
        <v>10240</v>
      </c>
      <c r="O991" s="1442" t="s">
        <v>2521</v>
      </c>
      <c r="P991" s="1442">
        <v>46309</v>
      </c>
    </row>
    <row r="992" spans="1:16">
      <c r="A992" t="s">
        <v>6805</v>
      </c>
      <c r="B992" t="s">
        <v>64</v>
      </c>
      <c r="C992" t="s">
        <v>100</v>
      </c>
      <c r="D992" t="s">
        <v>284</v>
      </c>
      <c r="E992" t="s">
        <v>6157</v>
      </c>
      <c r="F992" t="s">
        <v>1570</v>
      </c>
      <c r="G992">
        <v>5760</v>
      </c>
      <c r="H992" t="s">
        <v>2521</v>
      </c>
      <c r="I992" t="s">
        <v>6807</v>
      </c>
      <c r="J992" s="1442">
        <v>46276</v>
      </c>
      <c r="K992" s="1442">
        <v>46321</v>
      </c>
      <c r="L992" s="1442"/>
      <c r="M992" s="1442"/>
      <c r="N992" t="s">
        <v>10240</v>
      </c>
      <c r="O992" s="1442" t="s">
        <v>2521</v>
      </c>
      <c r="P992" s="1442">
        <v>46328</v>
      </c>
    </row>
    <row r="993" spans="1:16">
      <c r="A993" t="s">
        <v>6482</v>
      </c>
      <c r="B993" t="s">
        <v>144</v>
      </c>
      <c r="C993" t="s">
        <v>145</v>
      </c>
      <c r="D993" t="s">
        <v>5374</v>
      </c>
      <c r="E993" t="s">
        <v>5395</v>
      </c>
      <c r="F993" t="s">
        <v>5396</v>
      </c>
      <c r="G993">
        <v>936</v>
      </c>
      <c r="H993" t="s">
        <v>951</v>
      </c>
      <c r="I993" t="s">
        <v>6485</v>
      </c>
      <c r="J993" s="1442">
        <v>46270</v>
      </c>
      <c r="K993" s="1442">
        <v>46302</v>
      </c>
      <c r="L993" s="1442"/>
      <c r="M993" s="1442"/>
      <c r="N993" t="s">
        <v>10240</v>
      </c>
      <c r="O993" s="1442" t="s">
        <v>2521</v>
      </c>
      <c r="P993" s="1442">
        <v>46302</v>
      </c>
    </row>
    <row r="994" spans="1:16">
      <c r="A994" t="s">
        <v>6477</v>
      </c>
      <c r="B994" t="s">
        <v>144</v>
      </c>
      <c r="C994" t="s">
        <v>145</v>
      </c>
      <c r="D994" t="s">
        <v>4526</v>
      </c>
      <c r="E994" t="s">
        <v>6444</v>
      </c>
      <c r="F994" t="s">
        <v>4593</v>
      </c>
      <c r="G994">
        <v>720</v>
      </c>
      <c r="H994" t="s">
        <v>951</v>
      </c>
      <c r="I994" t="s">
        <v>6478</v>
      </c>
      <c r="J994" s="1442">
        <v>46270</v>
      </c>
      <c r="K994" s="1442">
        <v>46302</v>
      </c>
      <c r="L994" s="1442"/>
      <c r="M994" s="1442"/>
      <c r="N994" t="s">
        <v>10240</v>
      </c>
      <c r="O994" s="1442" t="s">
        <v>2521</v>
      </c>
      <c r="P994" s="1442">
        <v>46302</v>
      </c>
    </row>
    <row r="995" spans="1:16">
      <c r="A995" t="s">
        <v>6600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951</v>
      </c>
      <c r="I995" t="s">
        <v>6601</v>
      </c>
      <c r="J995" s="1442">
        <v>46273</v>
      </c>
      <c r="K995" s="1442">
        <v>46313</v>
      </c>
      <c r="L995" s="1442">
        <v>46313.041666666664</v>
      </c>
      <c r="M995" s="1442" t="s">
        <v>2521</v>
      </c>
      <c r="N995" t="s">
        <v>10240</v>
      </c>
      <c r="O995" s="1442" t="s">
        <v>2521</v>
      </c>
      <c r="P995" s="1442">
        <v>46320.041666666664</v>
      </c>
    </row>
    <row r="996" spans="1:16">
      <c r="A996" t="s">
        <v>6272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 t="s">
        <v>6274</v>
      </c>
      <c r="J996" s="1442">
        <v>46263</v>
      </c>
      <c r="K996" s="1442">
        <v>46318</v>
      </c>
      <c r="L996" s="1442"/>
      <c r="M996" s="1442"/>
      <c r="N996" t="s">
        <v>10240</v>
      </c>
      <c r="O996" s="1442" t="s">
        <v>2521</v>
      </c>
      <c r="P996" s="1442">
        <v>46328</v>
      </c>
    </row>
    <row r="997" spans="1:16">
      <c r="A997" t="s">
        <v>6862</v>
      </c>
      <c r="B997" t="s">
        <v>64</v>
      </c>
      <c r="C997" t="s">
        <v>65</v>
      </c>
      <c r="D997" t="s">
        <v>4526</v>
      </c>
      <c r="E997" t="s">
        <v>706</v>
      </c>
      <c r="F997" t="s">
        <v>707</v>
      </c>
      <c r="G997">
        <v>1728</v>
      </c>
      <c r="H997" t="s">
        <v>951</v>
      </c>
      <c r="I997" t="s">
        <v>6863</v>
      </c>
      <c r="J997" s="1442">
        <v>46276</v>
      </c>
      <c r="K997" s="1442">
        <v>46330</v>
      </c>
      <c r="L997" s="1442">
        <v>46330.25</v>
      </c>
      <c r="M997" s="1442" t="s">
        <v>2521</v>
      </c>
      <c r="N997" t="s">
        <v>10240</v>
      </c>
      <c r="O997" s="1442" t="s">
        <v>2521</v>
      </c>
      <c r="P997" s="1442">
        <v>46338.25</v>
      </c>
    </row>
    <row r="998" spans="1:16">
      <c r="A998" t="s">
        <v>6866</v>
      </c>
      <c r="B998" t="s">
        <v>64</v>
      </c>
      <c r="C998" t="s">
        <v>65</v>
      </c>
      <c r="D998" t="s">
        <v>4526</v>
      </c>
      <c r="E998" t="s">
        <v>706</v>
      </c>
      <c r="F998" t="s">
        <v>707</v>
      </c>
      <c r="G998">
        <v>3456</v>
      </c>
      <c r="H998" t="s">
        <v>951</v>
      </c>
      <c r="I998" t="s">
        <v>6867</v>
      </c>
      <c r="J998" s="1442">
        <v>46276</v>
      </c>
      <c r="K998" s="1442">
        <v>46342</v>
      </c>
      <c r="L998" s="1442">
        <v>46342.770833333336</v>
      </c>
      <c r="M998" s="1442" t="s">
        <v>2521</v>
      </c>
      <c r="N998" t="s">
        <v>10240</v>
      </c>
      <c r="O998" s="1442" t="s">
        <v>2521</v>
      </c>
      <c r="P998" s="1442">
        <v>46350.770833333336</v>
      </c>
    </row>
    <row r="999" spans="1:16">
      <c r="A999" t="s">
        <v>6970</v>
      </c>
      <c r="B999" t="s">
        <v>144</v>
      </c>
      <c r="C999" t="s">
        <v>145</v>
      </c>
      <c r="D999" t="s">
        <v>284</v>
      </c>
      <c r="E999" t="s">
        <v>6969</v>
      </c>
      <c r="F999" t="s">
        <v>1570</v>
      </c>
      <c r="G999">
        <v>1440</v>
      </c>
      <c r="H999" t="s">
        <v>2521</v>
      </c>
      <c r="I999" t="s">
        <v>6971</v>
      </c>
      <c r="J999" s="1442">
        <v>46272</v>
      </c>
      <c r="K999" s="1442">
        <v>46319</v>
      </c>
      <c r="L999" s="1442"/>
      <c r="M999" s="1442"/>
      <c r="N999" t="s">
        <v>10240</v>
      </c>
      <c r="O999" s="1442" t="s">
        <v>2521</v>
      </c>
      <c r="P999" s="1442">
        <v>46319</v>
      </c>
    </row>
    <row r="1000" spans="1:16">
      <c r="A1000" t="s">
        <v>6979</v>
      </c>
      <c r="B1000" t="s">
        <v>144</v>
      </c>
      <c r="C1000" t="s">
        <v>145</v>
      </c>
      <c r="D1000" t="s">
        <v>284</v>
      </c>
      <c r="E1000" t="s">
        <v>6969</v>
      </c>
      <c r="F1000" t="s">
        <v>1570</v>
      </c>
      <c r="G1000">
        <v>6480</v>
      </c>
      <c r="H1000" t="s">
        <v>2521</v>
      </c>
      <c r="I1000" t="s">
        <v>6980</v>
      </c>
      <c r="J1000" s="1442">
        <v>46279</v>
      </c>
      <c r="K1000" s="1442">
        <v>46327</v>
      </c>
      <c r="L1000" s="1442"/>
      <c r="M1000" s="1442"/>
      <c r="N1000" t="s">
        <v>10240</v>
      </c>
      <c r="O1000" s="1442" t="s">
        <v>2521</v>
      </c>
      <c r="P1000" s="1442">
        <v>46327</v>
      </c>
    </row>
    <row r="1001" spans="1:16">
      <c r="A1001" t="s">
        <v>6985</v>
      </c>
      <c r="B1001" t="s">
        <v>144</v>
      </c>
      <c r="C1001" t="s">
        <v>145</v>
      </c>
      <c r="D1001" t="s">
        <v>284</v>
      </c>
      <c r="E1001" t="s">
        <v>6977</v>
      </c>
      <c r="F1001" t="s">
        <v>5341</v>
      </c>
      <c r="G1001">
        <v>7200</v>
      </c>
      <c r="I1001" t="s">
        <v>6986</v>
      </c>
      <c r="J1001" s="1442">
        <v>46279</v>
      </c>
      <c r="K1001" s="1442">
        <v>46327</v>
      </c>
      <c r="L1001" s="1442"/>
      <c r="M1001" s="1442"/>
      <c r="N1001" t="s">
        <v>10240</v>
      </c>
      <c r="O1001" s="1442" t="s">
        <v>2521</v>
      </c>
      <c r="P1001" s="1442">
        <v>46327</v>
      </c>
    </row>
    <row r="1002" spans="1:16">
      <c r="A1002" t="s">
        <v>6538</v>
      </c>
      <c r="B1002" t="s">
        <v>144</v>
      </c>
      <c r="C1002" t="s">
        <v>145</v>
      </c>
      <c r="D1002" t="s">
        <v>4526</v>
      </c>
      <c r="E1002" t="s">
        <v>6466</v>
      </c>
      <c r="F1002" t="s">
        <v>103</v>
      </c>
      <c r="G1002">
        <v>720</v>
      </c>
      <c r="H1002" t="s">
        <v>2521</v>
      </c>
      <c r="I1002" t="s">
        <v>6539</v>
      </c>
      <c r="J1002" s="1442">
        <v>46271</v>
      </c>
      <c r="K1002" s="1442">
        <v>46312</v>
      </c>
      <c r="L1002" s="1442"/>
      <c r="M1002" s="1442"/>
      <c r="N1002" t="s">
        <v>10240</v>
      </c>
      <c r="O1002" s="1442" t="s">
        <v>2521</v>
      </c>
      <c r="P1002" s="1442">
        <v>46312</v>
      </c>
    </row>
    <row r="1003" spans="1:16">
      <c r="A1003" t="s">
        <v>6976</v>
      </c>
      <c r="B1003" t="s">
        <v>144</v>
      </c>
      <c r="C1003" t="s">
        <v>145</v>
      </c>
      <c r="D1003" t="s">
        <v>284</v>
      </c>
      <c r="E1003" t="s">
        <v>6977</v>
      </c>
      <c r="F1003" t="s">
        <v>5341</v>
      </c>
      <c r="G1003">
        <v>2160</v>
      </c>
      <c r="H1003" t="s">
        <v>2521</v>
      </c>
      <c r="I1003" t="s">
        <v>6978</v>
      </c>
      <c r="J1003" s="1442">
        <v>46272</v>
      </c>
      <c r="K1003" s="1442">
        <v>46319</v>
      </c>
      <c r="L1003" s="1442"/>
      <c r="M1003" s="1442"/>
      <c r="N1003" t="s">
        <v>10240</v>
      </c>
      <c r="O1003" s="1442" t="s">
        <v>2521</v>
      </c>
      <c r="P1003" s="1442">
        <v>46319</v>
      </c>
    </row>
    <row r="1004" spans="1:16">
      <c r="A1004" t="s">
        <v>6687</v>
      </c>
      <c r="B1004" t="s">
        <v>64</v>
      </c>
      <c r="C1004" t="s">
        <v>100</v>
      </c>
      <c r="D1004" t="s">
        <v>70</v>
      </c>
      <c r="E1004" t="s">
        <v>5744</v>
      </c>
      <c r="F1004" t="s">
        <v>1484</v>
      </c>
      <c r="G1004">
        <v>1782</v>
      </c>
      <c r="H1004" t="s">
        <v>2521</v>
      </c>
      <c r="I1004" t="s">
        <v>6688</v>
      </c>
      <c r="J1004" s="1442">
        <v>46279</v>
      </c>
      <c r="K1004" s="1442">
        <v>46319</v>
      </c>
      <c r="L1004" s="1442"/>
      <c r="M1004" s="1442" t="s">
        <v>2521</v>
      </c>
      <c r="N1004" t="s">
        <v>10240</v>
      </c>
      <c r="O1004" s="1442" t="s">
        <v>2521</v>
      </c>
      <c r="P1004" s="1442">
        <v>46326</v>
      </c>
    </row>
    <row r="1005" spans="1:16">
      <c r="A1005" t="s">
        <v>6917</v>
      </c>
      <c r="B1005" t="s">
        <v>144</v>
      </c>
      <c r="C1005" t="s">
        <v>145</v>
      </c>
      <c r="D1005" t="s">
        <v>4526</v>
      </c>
      <c r="E1005" t="s">
        <v>71</v>
      </c>
      <c r="F1005" t="s">
        <v>72</v>
      </c>
      <c r="G1005">
        <v>1728</v>
      </c>
      <c r="H1005" t="s">
        <v>2521</v>
      </c>
      <c r="I1005" t="s">
        <v>6919</v>
      </c>
      <c r="J1005" s="1442">
        <v>46274</v>
      </c>
      <c r="K1005" s="1442">
        <v>46323</v>
      </c>
      <c r="L1005" s="1442">
        <v>46323.25</v>
      </c>
      <c r="M1005" s="1442" t="s">
        <v>2521</v>
      </c>
      <c r="N1005" t="s">
        <v>10240</v>
      </c>
      <c r="O1005" s="1442" t="s">
        <v>2521</v>
      </c>
      <c r="P1005" s="1442">
        <v>46323.25</v>
      </c>
    </row>
    <row r="1006" spans="1:16">
      <c r="A1006" t="s">
        <v>6605</v>
      </c>
      <c r="B1006" t="s">
        <v>144</v>
      </c>
      <c r="C1006" t="s">
        <v>145</v>
      </c>
      <c r="D1006" t="s">
        <v>4526</v>
      </c>
      <c r="E1006" t="s">
        <v>6466</v>
      </c>
      <c r="F1006" t="s">
        <v>103</v>
      </c>
      <c r="G1006">
        <v>7920</v>
      </c>
      <c r="H1006" t="s">
        <v>951</v>
      </c>
      <c r="I1006" t="s">
        <v>6606</v>
      </c>
      <c r="J1006" s="1442">
        <v>46278</v>
      </c>
      <c r="K1006" s="1442">
        <v>46313</v>
      </c>
      <c r="L1006" s="1442">
        <v>46314.833333333336</v>
      </c>
      <c r="M1006" s="1442" t="s">
        <v>2521</v>
      </c>
      <c r="N1006" t="s">
        <v>10240</v>
      </c>
      <c r="O1006" s="1442" t="s">
        <v>2521</v>
      </c>
      <c r="P1006" s="1442">
        <v>46314.833333333336</v>
      </c>
    </row>
    <row r="1007" spans="1:16">
      <c r="A1007" t="s">
        <v>6922</v>
      </c>
      <c r="B1007" t="s">
        <v>64</v>
      </c>
      <c r="C1007" t="s">
        <v>65</v>
      </c>
      <c r="D1007" t="s">
        <v>4526</v>
      </c>
      <c r="E1007" t="s">
        <v>71</v>
      </c>
      <c r="F1007" t="s">
        <v>72</v>
      </c>
      <c r="G1007">
        <v>864</v>
      </c>
      <c r="H1007" t="s">
        <v>951</v>
      </c>
      <c r="I1007" t="s">
        <v>6923</v>
      </c>
      <c r="J1007" s="1442">
        <v>46277</v>
      </c>
      <c r="K1007" s="1442">
        <v>46321</v>
      </c>
      <c r="L1007" s="1442">
        <v>46327.854166666664</v>
      </c>
      <c r="M1007" s="1442" t="s">
        <v>2521</v>
      </c>
      <c r="N1007" t="s">
        <v>10240</v>
      </c>
      <c r="O1007" s="1442" t="s">
        <v>2521</v>
      </c>
      <c r="P1007" s="1442">
        <v>46335.854166666664</v>
      </c>
    </row>
    <row r="1008" spans="1:16">
      <c r="A1008" t="s">
        <v>6305</v>
      </c>
      <c r="B1008" t="s">
        <v>64</v>
      </c>
      <c r="C1008" t="s">
        <v>65</v>
      </c>
      <c r="D1008" t="s">
        <v>4526</v>
      </c>
      <c r="E1008" t="s">
        <v>71</v>
      </c>
      <c r="F1008" t="s">
        <v>72</v>
      </c>
      <c r="G1008">
        <v>864</v>
      </c>
      <c r="H1008" t="s">
        <v>951</v>
      </c>
      <c r="I1008" t="s">
        <v>6306</v>
      </c>
      <c r="J1008" s="1442">
        <v>46265</v>
      </c>
      <c r="K1008" s="1442">
        <v>46314</v>
      </c>
      <c r="L1008" s="1442">
        <v>46321.791666666664</v>
      </c>
      <c r="M1008" s="1442" t="s">
        <v>2521</v>
      </c>
      <c r="N1008" t="s">
        <v>10240</v>
      </c>
      <c r="O1008" s="1442" t="s">
        <v>2521</v>
      </c>
      <c r="P1008" s="1442">
        <v>46329.791666666664</v>
      </c>
    </row>
    <row r="1009" spans="1:16">
      <c r="A1009" t="s">
        <v>6609</v>
      </c>
      <c r="B1009" t="s">
        <v>144</v>
      </c>
      <c r="C1009" t="s">
        <v>145</v>
      </c>
      <c r="D1009" t="s">
        <v>4526</v>
      </c>
      <c r="E1009" t="s">
        <v>6466</v>
      </c>
      <c r="F1009" t="s">
        <v>103</v>
      </c>
      <c r="G1009">
        <v>3600</v>
      </c>
      <c r="H1009" t="s">
        <v>951</v>
      </c>
      <c r="I1009" t="s">
        <v>6610</v>
      </c>
      <c r="J1009" s="1442">
        <v>46272</v>
      </c>
      <c r="K1009" s="1442">
        <v>46309</v>
      </c>
      <c r="L1009" s="1442">
        <v>46316.875</v>
      </c>
      <c r="M1009" s="1442" t="s">
        <v>2521</v>
      </c>
      <c r="N1009" t="s">
        <v>10240</v>
      </c>
      <c r="O1009" s="1442" t="s">
        <v>2521</v>
      </c>
      <c r="P1009" s="1442">
        <v>46316.875</v>
      </c>
    </row>
    <row r="1010" spans="1:16">
      <c r="A1010" t="s">
        <v>6614</v>
      </c>
      <c r="B1010" t="s">
        <v>144</v>
      </c>
      <c r="C1010" t="s">
        <v>145</v>
      </c>
      <c r="D1010" t="s">
        <v>4526</v>
      </c>
      <c r="E1010" t="s">
        <v>6466</v>
      </c>
      <c r="F1010" t="s">
        <v>103</v>
      </c>
      <c r="G1010">
        <v>5760</v>
      </c>
      <c r="H1010" t="s">
        <v>951</v>
      </c>
      <c r="I1010" t="s">
        <v>6615</v>
      </c>
      <c r="J1010" s="1442">
        <v>46275</v>
      </c>
      <c r="K1010" s="1442">
        <v>46319</v>
      </c>
      <c r="L1010" s="1442">
        <v>46320.395833333336</v>
      </c>
      <c r="M1010" s="1442" t="s">
        <v>2521</v>
      </c>
      <c r="N1010" t="s">
        <v>10240</v>
      </c>
      <c r="O1010" s="1442" t="s">
        <v>2521</v>
      </c>
      <c r="P1010" s="1442">
        <v>46320.395833333336</v>
      </c>
    </row>
    <row r="1011" spans="1:16">
      <c r="A1011" t="s">
        <v>6639</v>
      </c>
      <c r="B1011" t="s">
        <v>64</v>
      </c>
      <c r="C1011" t="s">
        <v>114</v>
      </c>
      <c r="D1011" t="s">
        <v>4526</v>
      </c>
      <c r="E1011" t="s">
        <v>6207</v>
      </c>
      <c r="F1011" t="s">
        <v>330</v>
      </c>
      <c r="G1011">
        <v>720</v>
      </c>
      <c r="H1011" t="s">
        <v>951</v>
      </c>
      <c r="I1011" t="s">
        <v>6640</v>
      </c>
      <c r="J1011" s="1442">
        <v>46277</v>
      </c>
      <c r="K1011" s="1442">
        <v>46310</v>
      </c>
      <c r="L1011" s="1442"/>
      <c r="M1011" s="1442" t="s">
        <v>2521</v>
      </c>
      <c r="N1011" t="s">
        <v>10240</v>
      </c>
      <c r="O1011" s="1442" t="s">
        <v>2521</v>
      </c>
      <c r="P1011" s="1442">
        <v>46319</v>
      </c>
    </row>
    <row r="1012" spans="1:16">
      <c r="A1012" t="s">
        <v>6543</v>
      </c>
      <c r="B1012" t="s">
        <v>144</v>
      </c>
      <c r="C1012" t="s">
        <v>145</v>
      </c>
      <c r="D1012" t="s">
        <v>4526</v>
      </c>
      <c r="E1012" t="s">
        <v>6444</v>
      </c>
      <c r="F1012" t="s">
        <v>4593</v>
      </c>
      <c r="G1012">
        <v>2880</v>
      </c>
      <c r="H1012" t="s">
        <v>2521</v>
      </c>
      <c r="I1012" t="s">
        <v>6544</v>
      </c>
      <c r="J1012" s="1442">
        <v>46271</v>
      </c>
      <c r="K1012" s="1442">
        <v>46312</v>
      </c>
      <c r="L1012" s="1442"/>
      <c r="M1012" s="1442"/>
      <c r="N1012" t="s">
        <v>10240</v>
      </c>
      <c r="O1012" s="1442" t="s">
        <v>2521</v>
      </c>
      <c r="P1012" s="1442">
        <v>46312</v>
      </c>
    </row>
    <row r="1013" spans="1:16">
      <c r="A1013" t="s">
        <v>6513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2521</v>
      </c>
      <c r="I1013" t="s">
        <v>6514</v>
      </c>
      <c r="J1013" s="1442">
        <v>46260</v>
      </c>
      <c r="K1013" s="1442">
        <v>46309</v>
      </c>
      <c r="L1013" s="1442"/>
      <c r="M1013" s="1442"/>
      <c r="N1013" t="s">
        <v>10240</v>
      </c>
      <c r="O1013" s="1442" t="s">
        <v>2521</v>
      </c>
      <c r="P1013" s="1442">
        <v>46317</v>
      </c>
    </row>
    <row r="1014" spans="1:16">
      <c r="A1014" t="s">
        <v>6509</v>
      </c>
      <c r="B1014" t="s">
        <v>64</v>
      </c>
      <c r="C1014" t="s">
        <v>65</v>
      </c>
      <c r="D1014" t="s">
        <v>5374</v>
      </c>
      <c r="E1014" t="s">
        <v>5730</v>
      </c>
      <c r="F1014" t="s">
        <v>5731</v>
      </c>
      <c r="G1014">
        <v>2808</v>
      </c>
      <c r="H1014" t="s">
        <v>2521</v>
      </c>
      <c r="I1014" t="s">
        <v>6510</v>
      </c>
      <c r="J1014" s="1442">
        <v>46271</v>
      </c>
      <c r="K1014" s="1442">
        <v>46316</v>
      </c>
      <c r="L1014" s="1442"/>
      <c r="M1014" s="1442"/>
      <c r="N1014" t="s">
        <v>10240</v>
      </c>
      <c r="O1014" s="1442" t="s">
        <v>2521</v>
      </c>
      <c r="P1014" s="1442">
        <v>46324</v>
      </c>
    </row>
    <row r="1015" spans="1:16">
      <c r="A1015" t="s">
        <v>6517</v>
      </c>
      <c r="B1015" t="s">
        <v>64</v>
      </c>
      <c r="C1015" t="s">
        <v>65</v>
      </c>
      <c r="D1015" t="s">
        <v>5374</v>
      </c>
      <c r="E1015" t="s">
        <v>5730</v>
      </c>
      <c r="F1015" t="s">
        <v>5731</v>
      </c>
      <c r="G1015">
        <v>7488</v>
      </c>
      <c r="H1015" t="s">
        <v>2521</v>
      </c>
      <c r="I1015" t="s">
        <v>6518</v>
      </c>
      <c r="J1015" s="1442">
        <v>46260</v>
      </c>
      <c r="K1015" s="1442">
        <v>46309</v>
      </c>
      <c r="L1015" s="1442"/>
      <c r="M1015" s="1442"/>
      <c r="N1015" t="s">
        <v>10240</v>
      </c>
      <c r="O1015" s="1442" t="s">
        <v>2521</v>
      </c>
      <c r="P1015" s="1442">
        <v>46317</v>
      </c>
    </row>
    <row r="1016" spans="1:16">
      <c r="A1016" t="s">
        <v>6711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 t="s">
        <v>6712</v>
      </c>
      <c r="J1016" s="1442">
        <v>46278</v>
      </c>
      <c r="K1016" s="1442">
        <v>46330</v>
      </c>
      <c r="L1016" s="1442"/>
      <c r="M1016" s="1442"/>
      <c r="N1016" t="s">
        <v>10240</v>
      </c>
      <c r="O1016" s="1442" t="s">
        <v>2521</v>
      </c>
      <c r="P1016" s="1442">
        <v>46338</v>
      </c>
    </row>
    <row r="1017" spans="1:16">
      <c r="A1017" t="s">
        <v>6689</v>
      </c>
      <c r="B1017" t="s">
        <v>64</v>
      </c>
      <c r="C1017" t="s">
        <v>100</v>
      </c>
      <c r="D1017" t="s">
        <v>5374</v>
      </c>
      <c r="E1017" t="s">
        <v>6652</v>
      </c>
      <c r="F1017" t="s">
        <v>6653</v>
      </c>
      <c r="G1017">
        <v>1872</v>
      </c>
      <c r="H1017" t="s">
        <v>2521</v>
      </c>
      <c r="I1017" t="s">
        <v>6690</v>
      </c>
      <c r="J1017" s="1442">
        <v>46277</v>
      </c>
      <c r="K1017" s="1442">
        <v>46326</v>
      </c>
      <c r="L1017" s="1442"/>
      <c r="M1017" s="1442" t="s">
        <v>2521</v>
      </c>
      <c r="N1017" t="s">
        <v>10240</v>
      </c>
      <c r="O1017" s="1442" t="s">
        <v>2521</v>
      </c>
      <c r="P1017" s="1442">
        <v>46333</v>
      </c>
    </row>
    <row r="1018" spans="1:16">
      <c r="A1018" t="s">
        <v>6519</v>
      </c>
      <c r="B1018" t="s">
        <v>64</v>
      </c>
      <c r="C1018" t="s">
        <v>65</v>
      </c>
      <c r="D1018" t="s">
        <v>5374</v>
      </c>
      <c r="E1018" t="s">
        <v>5730</v>
      </c>
      <c r="F1018" t="s">
        <v>5731</v>
      </c>
      <c r="G1018">
        <v>936</v>
      </c>
      <c r="H1018" t="s">
        <v>2521</v>
      </c>
      <c r="I1018" t="s">
        <v>6520</v>
      </c>
      <c r="J1018" s="1442">
        <v>46260</v>
      </c>
      <c r="K1018" s="1442">
        <v>46309</v>
      </c>
      <c r="L1018" s="1442"/>
      <c r="M1018" s="1442"/>
      <c r="N1018" t="s">
        <v>10240</v>
      </c>
      <c r="O1018" s="1442" t="s">
        <v>2521</v>
      </c>
      <c r="P1018" s="1442">
        <v>46317</v>
      </c>
    </row>
    <row r="1019" spans="1:16">
      <c r="A1019" t="s">
        <v>6524</v>
      </c>
      <c r="B1019" t="s">
        <v>64</v>
      </c>
      <c r="C1019" t="s">
        <v>65</v>
      </c>
      <c r="D1019" t="s">
        <v>5374</v>
      </c>
      <c r="E1019" t="s">
        <v>6253</v>
      </c>
      <c r="F1019" t="s">
        <v>6254</v>
      </c>
      <c r="G1019">
        <v>1872</v>
      </c>
      <c r="H1019" t="s">
        <v>2521</v>
      </c>
      <c r="I1019" t="s">
        <v>6525</v>
      </c>
      <c r="J1019" s="1442">
        <v>46260</v>
      </c>
      <c r="K1019" s="1442">
        <v>46309</v>
      </c>
      <c r="L1019" s="1442"/>
      <c r="M1019" s="1442"/>
      <c r="N1019" t="s">
        <v>10240</v>
      </c>
      <c r="O1019" s="1442" t="s">
        <v>2521</v>
      </c>
      <c r="P1019" s="1442">
        <v>46317</v>
      </c>
    </row>
    <row r="1020" spans="1:16">
      <c r="A1020" t="s">
        <v>6694</v>
      </c>
      <c r="B1020" t="s">
        <v>64</v>
      </c>
      <c r="C1020" t="s">
        <v>100</v>
      </c>
      <c r="D1020" t="s">
        <v>5374</v>
      </c>
      <c r="E1020" t="s">
        <v>6695</v>
      </c>
      <c r="F1020" t="s">
        <v>6696</v>
      </c>
      <c r="G1020">
        <v>5616</v>
      </c>
      <c r="H1020" t="s">
        <v>2521</v>
      </c>
      <c r="I1020" t="s">
        <v>6697</v>
      </c>
      <c r="J1020" s="1442">
        <v>46277</v>
      </c>
      <c r="K1020" s="1442">
        <v>46326</v>
      </c>
      <c r="L1020" s="1442">
        <v>46326.791666666664</v>
      </c>
      <c r="M1020" s="1442" t="s">
        <v>2521</v>
      </c>
      <c r="N1020" t="s">
        <v>10240</v>
      </c>
      <c r="O1020" s="1442" t="s">
        <v>2521</v>
      </c>
      <c r="P1020" s="1442">
        <v>46333.791666666664</v>
      </c>
    </row>
    <row r="1021" spans="1:16">
      <c r="A1021" t="s">
        <v>6511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 t="s">
        <v>6512</v>
      </c>
      <c r="J1021" s="1442">
        <v>46271</v>
      </c>
      <c r="K1021" s="1442">
        <v>46316</v>
      </c>
      <c r="L1021" s="1442"/>
      <c r="M1021" s="1442"/>
      <c r="N1021" t="s">
        <v>10240</v>
      </c>
      <c r="O1021" s="1442" t="s">
        <v>2521</v>
      </c>
      <c r="P1021" s="1442">
        <v>46324</v>
      </c>
    </row>
    <row r="1022" spans="1:16">
      <c r="A1022" t="s">
        <v>6619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 t="s">
        <v>6620</v>
      </c>
      <c r="J1022" s="1442">
        <v>46277</v>
      </c>
      <c r="K1022" s="1442">
        <v>46316</v>
      </c>
      <c r="L1022" s="1442"/>
      <c r="M1022" s="1442"/>
      <c r="N1022" t="s">
        <v>10240</v>
      </c>
      <c r="O1022" s="1442" t="s">
        <v>2521</v>
      </c>
      <c r="P1022" s="1442">
        <v>46324</v>
      </c>
    </row>
    <row r="1023" spans="1:16">
      <c r="A1023" t="s">
        <v>6682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2521</v>
      </c>
      <c r="I1023" t="s">
        <v>6683</v>
      </c>
      <c r="J1023" s="1442">
        <v>46279</v>
      </c>
      <c r="K1023" s="1442">
        <v>46319</v>
      </c>
      <c r="L1023" s="1442"/>
      <c r="M1023" s="1442" t="s">
        <v>2521</v>
      </c>
      <c r="N1023" t="s">
        <v>10240</v>
      </c>
      <c r="O1023" s="1442" t="s">
        <v>2521</v>
      </c>
      <c r="P1023" s="1442">
        <v>46326</v>
      </c>
    </row>
    <row r="1024" spans="1:16">
      <c r="A1024" t="s">
        <v>6505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2521</v>
      </c>
      <c r="I1024" t="s">
        <v>6506</v>
      </c>
      <c r="J1024" s="1442">
        <v>46271</v>
      </c>
      <c r="K1024" s="1442">
        <v>46316</v>
      </c>
      <c r="L1024" s="1442"/>
      <c r="M1024" s="1442"/>
      <c r="N1024" t="s">
        <v>10240</v>
      </c>
      <c r="O1024" s="1442" t="s">
        <v>2521</v>
      </c>
      <c r="P1024" s="1442">
        <v>46324</v>
      </c>
    </row>
    <row r="1025" spans="1:16">
      <c r="A1025" t="s">
        <v>6522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2521</v>
      </c>
      <c r="I1025" t="s">
        <v>6523</v>
      </c>
      <c r="J1025" s="1442">
        <v>46260</v>
      </c>
      <c r="K1025" s="1442">
        <v>46309</v>
      </c>
      <c r="L1025" s="1442"/>
      <c r="M1025" s="1442"/>
      <c r="N1025" t="s">
        <v>10240</v>
      </c>
      <c r="O1025" s="1442" t="s">
        <v>2521</v>
      </c>
      <c r="P1025" s="1442">
        <v>46317</v>
      </c>
    </row>
    <row r="1026" spans="1:16">
      <c r="A1026" t="s">
        <v>6624</v>
      </c>
      <c r="B1026" t="s">
        <v>64</v>
      </c>
      <c r="C1026" t="s">
        <v>65</v>
      </c>
      <c r="D1026" t="s">
        <v>4526</v>
      </c>
      <c r="E1026" t="s">
        <v>706</v>
      </c>
      <c r="F1026" t="s">
        <v>707</v>
      </c>
      <c r="G1026">
        <v>4320</v>
      </c>
      <c r="H1026" t="s">
        <v>2521</v>
      </c>
      <c r="I1026" t="s">
        <v>6627</v>
      </c>
      <c r="J1026" s="1442">
        <v>46280</v>
      </c>
      <c r="K1026" s="1442">
        <v>46328</v>
      </c>
      <c r="L1026" s="1442">
        <v>46328.791666666664</v>
      </c>
      <c r="M1026" s="1442" t="s">
        <v>2521</v>
      </c>
      <c r="N1026" t="s">
        <v>10240</v>
      </c>
      <c r="O1026" s="1442" t="s">
        <v>2521</v>
      </c>
      <c r="P1026" s="1442">
        <v>46336.791666666664</v>
      </c>
    </row>
    <row r="1027" spans="1:16">
      <c r="A1027" t="s">
        <v>6897</v>
      </c>
      <c r="B1027" t="s">
        <v>64</v>
      </c>
      <c r="C1027" t="s">
        <v>65</v>
      </c>
      <c r="D1027" t="s">
        <v>4526</v>
      </c>
      <c r="E1027" t="s">
        <v>706</v>
      </c>
      <c r="F1027" t="s">
        <v>707</v>
      </c>
      <c r="G1027">
        <v>3456</v>
      </c>
      <c r="H1027" t="s">
        <v>951</v>
      </c>
      <c r="I1027" t="s">
        <v>6899</v>
      </c>
      <c r="J1027" s="1442">
        <v>46279</v>
      </c>
      <c r="K1027" s="1442">
        <v>46349</v>
      </c>
      <c r="L1027" s="1442">
        <v>46349.791666666664</v>
      </c>
      <c r="M1027" s="1442" t="s">
        <v>2521</v>
      </c>
      <c r="N1027" t="s">
        <v>10240</v>
      </c>
      <c r="O1027" s="1442" t="s">
        <v>2521</v>
      </c>
      <c r="P1027" s="1442">
        <v>46357.791666666664</v>
      </c>
    </row>
    <row r="1028" spans="1:16">
      <c r="A1028" t="s">
        <v>6902</v>
      </c>
      <c r="B1028" t="s">
        <v>64</v>
      </c>
      <c r="C1028" t="s">
        <v>65</v>
      </c>
      <c r="D1028" t="s">
        <v>4526</v>
      </c>
      <c r="E1028" t="s">
        <v>706</v>
      </c>
      <c r="F1028" t="s">
        <v>707</v>
      </c>
      <c r="G1028">
        <v>1728</v>
      </c>
      <c r="H1028" t="s">
        <v>951</v>
      </c>
      <c r="I1028" t="s">
        <v>6903</v>
      </c>
      <c r="J1028" s="1442">
        <v>46279</v>
      </c>
      <c r="K1028" s="1442">
        <v>46337</v>
      </c>
      <c r="L1028" s="1442">
        <v>46337.25</v>
      </c>
      <c r="M1028" s="1442" t="s">
        <v>2521</v>
      </c>
      <c r="N1028" t="s">
        <v>10240</v>
      </c>
      <c r="O1028" s="1442" t="s">
        <v>2521</v>
      </c>
      <c r="P1028" s="1442">
        <v>46345.25</v>
      </c>
    </row>
    <row r="1029" spans="1:16">
      <c r="A1029" t="s">
        <v>6631</v>
      </c>
      <c r="B1029" t="s">
        <v>64</v>
      </c>
      <c r="C1029" t="s">
        <v>65</v>
      </c>
      <c r="D1029" t="s">
        <v>4526</v>
      </c>
      <c r="E1029" t="s">
        <v>691</v>
      </c>
      <c r="F1029" t="s">
        <v>692</v>
      </c>
      <c r="G1029">
        <v>3456</v>
      </c>
      <c r="H1029" t="s">
        <v>2521</v>
      </c>
      <c r="I1029" t="s">
        <v>6633</v>
      </c>
      <c r="J1029" s="1442">
        <v>46280</v>
      </c>
      <c r="K1029" s="1442">
        <v>46328</v>
      </c>
      <c r="L1029" s="1442">
        <v>46328.791666666664</v>
      </c>
      <c r="M1029" s="1442" t="s">
        <v>2521</v>
      </c>
      <c r="N1029" t="s">
        <v>10240</v>
      </c>
      <c r="O1029" s="1442" t="s">
        <v>2521</v>
      </c>
      <c r="P1029" s="1442">
        <v>46336.791666666664</v>
      </c>
    </row>
    <row r="1030" spans="1:16">
      <c r="A1030" t="s">
        <v>6810</v>
      </c>
      <c r="B1030" t="s">
        <v>64</v>
      </c>
      <c r="C1030" t="s">
        <v>100</v>
      </c>
      <c r="D1030" t="s">
        <v>284</v>
      </c>
      <c r="E1030" t="s">
        <v>6157</v>
      </c>
      <c r="F1030" t="s">
        <v>1570</v>
      </c>
      <c r="G1030">
        <v>5760</v>
      </c>
      <c r="H1030" t="s">
        <v>2521</v>
      </c>
      <c r="I1030" t="s">
        <v>6811</v>
      </c>
      <c r="J1030" s="1442">
        <v>46276</v>
      </c>
      <c r="K1030" s="1442">
        <v>46321</v>
      </c>
      <c r="L1030" s="1442"/>
      <c r="M1030" s="1442" t="s">
        <v>2521</v>
      </c>
      <c r="N1030" t="s">
        <v>10240</v>
      </c>
      <c r="O1030" s="1442" t="s">
        <v>2521</v>
      </c>
      <c r="P1030" s="1442">
        <v>46328</v>
      </c>
    </row>
    <row r="1031" spans="1:16">
      <c r="A1031" t="s">
        <v>6660</v>
      </c>
      <c r="B1031" t="s">
        <v>144</v>
      </c>
      <c r="C1031" t="s">
        <v>145</v>
      </c>
      <c r="D1031" t="s">
        <v>4526</v>
      </c>
      <c r="E1031" t="s">
        <v>71</v>
      </c>
      <c r="F1031" t="s">
        <v>72</v>
      </c>
      <c r="G1031">
        <v>4320</v>
      </c>
      <c r="I1031" t="s">
        <v>6664</v>
      </c>
      <c r="J1031" s="1442">
        <v>46279</v>
      </c>
      <c r="K1031" s="1442">
        <v>46330</v>
      </c>
      <c r="L1031" s="1442"/>
      <c r="M1031" s="1442"/>
      <c r="N1031" t="s">
        <v>10240</v>
      </c>
      <c r="O1031" s="1442" t="s">
        <v>2521</v>
      </c>
      <c r="P1031" s="1442">
        <v>46330</v>
      </c>
    </row>
    <row r="1032" spans="1:16">
      <c r="A1032" t="s">
        <v>7253</v>
      </c>
      <c r="B1032" t="s">
        <v>64</v>
      </c>
      <c r="C1032" t="s">
        <v>100</v>
      </c>
      <c r="E1032" t="s">
        <v>7231</v>
      </c>
      <c r="F1032" t="s">
        <v>7233</v>
      </c>
      <c r="G1032">
        <v>16</v>
      </c>
      <c r="H1032" t="s">
        <v>75</v>
      </c>
      <c r="I1032" t="s">
        <v>7255</v>
      </c>
      <c r="J1032" s="1442"/>
      <c r="K1032" s="1442">
        <v>46177</v>
      </c>
      <c r="L1032" s="1442">
        <v>46177</v>
      </c>
      <c r="M1032" s="1442">
        <v>46178</v>
      </c>
      <c r="N1032" t="s">
        <v>10240</v>
      </c>
      <c r="O1032" s="1442" t="s">
        <v>2521</v>
      </c>
      <c r="P1032" s="1442">
        <v>46192</v>
      </c>
    </row>
    <row r="1033" spans="1:16">
      <c r="A1033" t="s">
        <v>7081</v>
      </c>
      <c r="B1033" t="s">
        <v>64</v>
      </c>
      <c r="C1033" t="s">
        <v>68</v>
      </c>
      <c r="E1033" t="s">
        <v>7082</v>
      </c>
      <c r="F1033" t="s">
        <v>7084</v>
      </c>
      <c r="G1033">
        <v>224</v>
      </c>
      <c r="H1033" t="s">
        <v>75</v>
      </c>
      <c r="I1033" t="s">
        <v>7085</v>
      </c>
      <c r="J1033" s="1442"/>
      <c r="K1033" s="1442">
        <v>46048</v>
      </c>
      <c r="L1033" s="1442">
        <v>46062</v>
      </c>
      <c r="M1033" s="1442">
        <v>46062</v>
      </c>
      <c r="N1033" t="s">
        <v>973</v>
      </c>
      <c r="O1033" s="1442">
        <v>46076</v>
      </c>
      <c r="P1033" s="1442">
        <v>46070</v>
      </c>
    </row>
    <row r="1034" spans="1:16">
      <c r="A1034" t="s">
        <v>7093</v>
      </c>
      <c r="B1034" t="s">
        <v>64</v>
      </c>
      <c r="C1034" t="s">
        <v>68</v>
      </c>
      <c r="E1034" t="s">
        <v>7094</v>
      </c>
      <c r="F1034" t="s">
        <v>7096</v>
      </c>
      <c r="G1034">
        <v>350</v>
      </c>
      <c r="H1034" t="s">
        <v>75</v>
      </c>
      <c r="I1034" t="s">
        <v>7097</v>
      </c>
      <c r="J1034" s="1442"/>
      <c r="K1034" s="1442">
        <v>46048</v>
      </c>
      <c r="L1034" s="1442">
        <v>46062</v>
      </c>
      <c r="M1034" s="1442">
        <v>46062</v>
      </c>
      <c r="N1034" t="s">
        <v>973</v>
      </c>
      <c r="O1034" s="1442">
        <v>46076</v>
      </c>
      <c r="P1034" s="1442">
        <v>46070</v>
      </c>
    </row>
    <row r="1035" spans="1:16">
      <c r="A1035" t="s">
        <v>7067</v>
      </c>
      <c r="B1035" t="s">
        <v>64</v>
      </c>
      <c r="C1035" t="s">
        <v>68</v>
      </c>
      <c r="E1035" t="s">
        <v>7070</v>
      </c>
      <c r="F1035" t="s">
        <v>7072</v>
      </c>
      <c r="G1035">
        <v>78</v>
      </c>
      <c r="H1035" t="s">
        <v>75</v>
      </c>
      <c r="I1035" t="s">
        <v>7073</v>
      </c>
      <c r="J1035" s="1442"/>
      <c r="K1035" s="1442">
        <v>46048</v>
      </c>
      <c r="L1035" s="1442">
        <v>46062</v>
      </c>
      <c r="M1035" s="1442">
        <v>46062</v>
      </c>
      <c r="N1035" t="s">
        <v>973</v>
      </c>
      <c r="O1035" s="1442">
        <v>46076</v>
      </c>
      <c r="P1035" s="1442">
        <v>46070</v>
      </c>
    </row>
    <row r="1036" spans="1:16">
      <c r="A1036" t="s">
        <v>7077</v>
      </c>
      <c r="B1036" t="s">
        <v>64</v>
      </c>
      <c r="C1036" t="s">
        <v>68</v>
      </c>
      <c r="E1036" t="s">
        <v>7078</v>
      </c>
      <c r="F1036" t="s">
        <v>7080</v>
      </c>
      <c r="G1036">
        <v>24</v>
      </c>
      <c r="H1036" t="s">
        <v>75</v>
      </c>
      <c r="I1036" t="s">
        <v>7073</v>
      </c>
      <c r="J1036" s="1442"/>
      <c r="K1036" s="1442">
        <v>46048</v>
      </c>
      <c r="L1036" s="1442">
        <v>46062</v>
      </c>
      <c r="M1036" s="1442">
        <v>46062</v>
      </c>
      <c r="N1036" t="s">
        <v>973</v>
      </c>
      <c r="O1036" s="1442">
        <v>46076</v>
      </c>
      <c r="P1036" s="1442">
        <v>46070</v>
      </c>
    </row>
    <row r="1037" spans="1:16">
      <c r="A1037" t="s">
        <v>7086</v>
      </c>
      <c r="B1037" t="s">
        <v>64</v>
      </c>
      <c r="C1037" t="s">
        <v>68</v>
      </c>
      <c r="E1037" t="s">
        <v>7082</v>
      </c>
      <c r="F1037" t="s">
        <v>7084</v>
      </c>
      <c r="G1037">
        <v>101</v>
      </c>
      <c r="H1037" t="s">
        <v>75</v>
      </c>
      <c r="I1037" t="s">
        <v>7073</v>
      </c>
      <c r="J1037" s="1442"/>
      <c r="K1037" s="1442">
        <v>46048</v>
      </c>
      <c r="L1037" s="1442">
        <v>46062</v>
      </c>
      <c r="M1037" s="1442">
        <v>46062</v>
      </c>
      <c r="N1037" t="s">
        <v>973</v>
      </c>
      <c r="O1037" s="1442">
        <v>46076</v>
      </c>
      <c r="P1037" s="1442">
        <v>46070</v>
      </c>
    </row>
    <row r="1038" spans="1:16">
      <c r="A1038" t="s">
        <v>7087</v>
      </c>
      <c r="B1038" t="s">
        <v>64</v>
      </c>
      <c r="C1038" t="s">
        <v>68</v>
      </c>
      <c r="E1038" t="s">
        <v>7088</v>
      </c>
      <c r="F1038" t="s">
        <v>7089</v>
      </c>
      <c r="G1038">
        <v>60</v>
      </c>
      <c r="H1038" t="s">
        <v>75</v>
      </c>
      <c r="I1038" t="s">
        <v>7073</v>
      </c>
      <c r="J1038" s="1442"/>
      <c r="K1038" s="1442">
        <v>46048</v>
      </c>
      <c r="L1038" s="1442">
        <v>46062</v>
      </c>
      <c r="M1038" s="1442">
        <v>46062</v>
      </c>
      <c r="N1038" t="s">
        <v>973</v>
      </c>
      <c r="O1038" s="1442">
        <v>46076</v>
      </c>
      <c r="P1038" s="1442">
        <v>46070</v>
      </c>
    </row>
    <row r="1039" spans="1:16">
      <c r="A1039" t="s">
        <v>7090</v>
      </c>
      <c r="B1039" t="s">
        <v>64</v>
      </c>
      <c r="C1039" t="s">
        <v>68</v>
      </c>
      <c r="E1039" t="s">
        <v>7091</v>
      </c>
      <c r="F1039" t="s">
        <v>7092</v>
      </c>
      <c r="G1039">
        <v>10</v>
      </c>
      <c r="H1039" t="s">
        <v>75</v>
      </c>
      <c r="I1039" t="s">
        <v>7073</v>
      </c>
      <c r="J1039" s="1442"/>
      <c r="K1039" s="1442">
        <v>46048</v>
      </c>
      <c r="L1039" s="1442">
        <v>46062</v>
      </c>
      <c r="M1039" s="1442">
        <v>46062</v>
      </c>
      <c r="N1039" t="s">
        <v>973</v>
      </c>
      <c r="O1039" s="1442">
        <v>46076</v>
      </c>
      <c r="P1039" s="1442">
        <v>46070</v>
      </c>
    </row>
    <row r="1040" spans="1:16">
      <c r="A1040" t="s">
        <v>7098</v>
      </c>
      <c r="B1040" t="s">
        <v>64</v>
      </c>
      <c r="C1040" t="s">
        <v>68</v>
      </c>
      <c r="E1040" t="s">
        <v>7094</v>
      </c>
      <c r="F1040" t="s">
        <v>7096</v>
      </c>
      <c r="G1040">
        <v>45</v>
      </c>
      <c r="H1040" t="s">
        <v>75</v>
      </c>
      <c r="I1040" t="s">
        <v>7073</v>
      </c>
      <c r="J1040" s="1442"/>
      <c r="K1040" s="1442">
        <v>46048</v>
      </c>
      <c r="L1040" s="1442">
        <v>46062</v>
      </c>
      <c r="M1040" s="1442">
        <v>46062</v>
      </c>
      <c r="N1040" t="s">
        <v>973</v>
      </c>
      <c r="O1040" s="1442">
        <v>46076</v>
      </c>
      <c r="P1040" s="1442">
        <v>46070</v>
      </c>
    </row>
    <row r="1041" spans="1:16">
      <c r="A1041" t="s">
        <v>7099</v>
      </c>
      <c r="B1041" t="s">
        <v>64</v>
      </c>
      <c r="C1041" t="s">
        <v>68</v>
      </c>
      <c r="E1041" t="s">
        <v>7082</v>
      </c>
      <c r="F1041" t="s">
        <v>7084</v>
      </c>
      <c r="G1041">
        <v>9</v>
      </c>
      <c r="H1041" t="s">
        <v>75</v>
      </c>
      <c r="I1041" t="s">
        <v>7073</v>
      </c>
      <c r="J1041" s="1442"/>
      <c r="K1041" s="1442">
        <v>46048</v>
      </c>
      <c r="L1041" s="1442">
        <v>46062</v>
      </c>
      <c r="M1041" s="1442">
        <v>46062</v>
      </c>
      <c r="N1041" t="s">
        <v>973</v>
      </c>
      <c r="O1041" s="1442">
        <v>46076</v>
      </c>
      <c r="P1041" s="1442">
        <v>46070</v>
      </c>
    </row>
    <row r="1042" spans="1:16">
      <c r="A1042" t="s">
        <v>7101</v>
      </c>
      <c r="B1042" t="s">
        <v>64</v>
      </c>
      <c r="C1042" t="s">
        <v>68</v>
      </c>
      <c r="E1042" t="s">
        <v>7088</v>
      </c>
      <c r="F1042" t="s">
        <v>7089</v>
      </c>
      <c r="G1042">
        <v>2</v>
      </c>
      <c r="H1042" t="s">
        <v>75</v>
      </c>
      <c r="I1042" t="s">
        <v>7073</v>
      </c>
      <c r="J1042" s="1442"/>
      <c r="K1042" s="1442">
        <v>46048</v>
      </c>
      <c r="L1042" s="1442">
        <v>46062</v>
      </c>
      <c r="M1042" s="1442">
        <v>46062</v>
      </c>
      <c r="N1042" t="s">
        <v>973</v>
      </c>
      <c r="O1042" s="1442">
        <v>46076</v>
      </c>
      <c r="P1042" s="1442">
        <v>46070</v>
      </c>
    </row>
    <row r="1043" spans="1:16">
      <c r="A1043" t="s">
        <v>7102</v>
      </c>
      <c r="B1043" t="s">
        <v>64</v>
      </c>
      <c r="C1043" t="s">
        <v>68</v>
      </c>
      <c r="E1043" t="s">
        <v>7091</v>
      </c>
      <c r="F1043" t="s">
        <v>7092</v>
      </c>
      <c r="G1043">
        <v>1</v>
      </c>
      <c r="H1043" t="s">
        <v>75</v>
      </c>
      <c r="I1043" t="s">
        <v>7073</v>
      </c>
      <c r="J1043" s="1442"/>
      <c r="K1043" s="1442">
        <v>46048</v>
      </c>
      <c r="L1043" s="1442">
        <v>46062</v>
      </c>
      <c r="M1043" s="1442">
        <v>46062</v>
      </c>
      <c r="N1043" t="s">
        <v>973</v>
      </c>
      <c r="O1043" s="1442">
        <v>46076</v>
      </c>
      <c r="P1043" s="1442">
        <v>46070</v>
      </c>
    </row>
    <row r="1044" spans="1:16">
      <c r="A1044" t="s">
        <v>7103</v>
      </c>
      <c r="B1044" t="s">
        <v>64</v>
      </c>
      <c r="C1044" t="s">
        <v>68</v>
      </c>
      <c r="E1044" t="s">
        <v>7094</v>
      </c>
      <c r="F1044" t="s">
        <v>7096</v>
      </c>
      <c r="G1044">
        <v>12</v>
      </c>
      <c r="H1044" t="s">
        <v>75</v>
      </c>
      <c r="I1044" t="s">
        <v>7073</v>
      </c>
      <c r="J1044" s="1442"/>
      <c r="K1044" s="1442">
        <v>46048</v>
      </c>
      <c r="L1044" s="1442">
        <v>46062</v>
      </c>
      <c r="M1044" s="1442">
        <v>46062</v>
      </c>
      <c r="N1044" t="s">
        <v>973</v>
      </c>
      <c r="O1044" s="1442">
        <v>46076</v>
      </c>
      <c r="P1044" s="1442">
        <v>46070</v>
      </c>
    </row>
    <row r="1045" spans="1:16">
      <c r="A1045" t="s">
        <v>7125</v>
      </c>
      <c r="B1045" t="s">
        <v>64</v>
      </c>
      <c r="C1045" t="s">
        <v>68</v>
      </c>
      <c r="E1045" t="s">
        <v>7094</v>
      </c>
      <c r="F1045" t="s">
        <v>7096</v>
      </c>
      <c r="G1045">
        <v>58</v>
      </c>
      <c r="H1045" t="s">
        <v>75</v>
      </c>
      <c r="I1045" t="s">
        <v>7119</v>
      </c>
      <c r="J1045" s="1442"/>
      <c r="K1045" s="1442">
        <v>46111</v>
      </c>
      <c r="L1045" s="1442">
        <v>46133</v>
      </c>
      <c r="M1045" s="1442">
        <v>46132</v>
      </c>
      <c r="N1045" t="s">
        <v>973</v>
      </c>
      <c r="O1045" s="1442">
        <v>46142</v>
      </c>
      <c r="P1045" s="1442">
        <v>46140</v>
      </c>
    </row>
    <row r="1046" spans="1:16">
      <c r="A1046" t="s">
        <v>7124</v>
      </c>
      <c r="B1046" t="s">
        <v>64</v>
      </c>
      <c r="C1046" t="s">
        <v>68</v>
      </c>
      <c r="E1046" t="s">
        <v>7082</v>
      </c>
      <c r="F1046" t="s">
        <v>7084</v>
      </c>
      <c r="G1046">
        <v>9</v>
      </c>
      <c r="H1046" t="s">
        <v>75</v>
      </c>
      <c r="I1046" t="s">
        <v>7119</v>
      </c>
      <c r="J1046" s="1442"/>
      <c r="K1046" s="1442">
        <v>46111</v>
      </c>
      <c r="L1046" s="1442">
        <v>46133</v>
      </c>
      <c r="M1046" s="1442">
        <v>46132</v>
      </c>
      <c r="N1046" t="s">
        <v>973</v>
      </c>
      <c r="O1046" s="1442">
        <v>46142</v>
      </c>
      <c r="P1046" s="1442">
        <v>46140</v>
      </c>
    </row>
    <row r="1047" spans="1:16">
      <c r="A1047" t="s">
        <v>7123</v>
      </c>
      <c r="B1047" t="s">
        <v>64</v>
      </c>
      <c r="C1047" t="s">
        <v>68</v>
      </c>
      <c r="E1047" t="s">
        <v>7082</v>
      </c>
      <c r="F1047" t="s">
        <v>7084</v>
      </c>
      <c r="G1047">
        <v>72</v>
      </c>
      <c r="H1047" t="s">
        <v>75</v>
      </c>
      <c r="I1047" t="s">
        <v>7119</v>
      </c>
      <c r="J1047" s="1442"/>
      <c r="K1047" s="1442">
        <v>46111</v>
      </c>
      <c r="L1047" s="1442">
        <v>46133</v>
      </c>
      <c r="M1047" s="1442">
        <v>46132</v>
      </c>
      <c r="N1047" t="s">
        <v>973</v>
      </c>
      <c r="O1047" s="1442">
        <v>46142</v>
      </c>
      <c r="P1047" s="1442">
        <v>46140</v>
      </c>
    </row>
    <row r="1048" spans="1:16">
      <c r="A1048" t="s">
        <v>7115</v>
      </c>
      <c r="B1048" t="s">
        <v>64</v>
      </c>
      <c r="C1048" t="s">
        <v>68</v>
      </c>
      <c r="E1048" t="s">
        <v>7116</v>
      </c>
      <c r="F1048" t="s">
        <v>7117</v>
      </c>
      <c r="G1048">
        <v>100</v>
      </c>
      <c r="H1048" t="s">
        <v>75</v>
      </c>
      <c r="I1048" t="s">
        <v>7119</v>
      </c>
      <c r="J1048" s="1442"/>
      <c r="K1048" s="1442">
        <v>46111</v>
      </c>
      <c r="L1048" s="1442">
        <v>46133</v>
      </c>
      <c r="M1048" s="1442">
        <v>46132</v>
      </c>
      <c r="N1048" t="s">
        <v>973</v>
      </c>
      <c r="O1048" s="1442">
        <v>46142</v>
      </c>
      <c r="P1048" s="1442">
        <v>46140</v>
      </c>
    </row>
    <row r="1049" spans="1:16">
      <c r="A1049" t="s">
        <v>7122</v>
      </c>
      <c r="B1049" t="s">
        <v>64</v>
      </c>
      <c r="C1049" t="s">
        <v>68</v>
      </c>
      <c r="E1049" t="s">
        <v>7116</v>
      </c>
      <c r="F1049" t="s">
        <v>7117</v>
      </c>
      <c r="G1049">
        <v>3</v>
      </c>
      <c r="H1049" t="s">
        <v>75</v>
      </c>
      <c r="I1049" t="s">
        <v>7119</v>
      </c>
      <c r="J1049" s="1442"/>
      <c r="K1049" s="1442">
        <v>46111</v>
      </c>
      <c r="L1049" s="1442">
        <v>46133</v>
      </c>
      <c r="M1049" s="1442">
        <v>46132</v>
      </c>
      <c r="N1049" t="s">
        <v>973</v>
      </c>
      <c r="O1049" s="1442">
        <v>46142</v>
      </c>
      <c r="P1049" s="1442">
        <v>46140</v>
      </c>
    </row>
    <row r="1050" spans="1:16">
      <c r="A1050" t="s">
        <v>7129</v>
      </c>
      <c r="B1050" t="s">
        <v>64</v>
      </c>
      <c r="C1050" t="s">
        <v>68</v>
      </c>
      <c r="E1050" t="s">
        <v>7094</v>
      </c>
      <c r="F1050" t="s">
        <v>7096</v>
      </c>
      <c r="G1050">
        <v>338</v>
      </c>
      <c r="H1050" t="s">
        <v>75</v>
      </c>
      <c r="I1050" t="s">
        <v>7132</v>
      </c>
      <c r="J1050" s="1442"/>
      <c r="K1050" s="1442">
        <v>46111</v>
      </c>
      <c r="L1050" s="1442">
        <v>46133</v>
      </c>
      <c r="M1050" s="1442">
        <v>46132</v>
      </c>
      <c r="N1050" t="s">
        <v>973</v>
      </c>
      <c r="O1050" s="1442">
        <v>46142</v>
      </c>
      <c r="P1050" s="1442">
        <v>46140</v>
      </c>
    </row>
    <row r="1051" spans="1:16">
      <c r="A1051" t="s">
        <v>7133</v>
      </c>
      <c r="B1051" t="s">
        <v>64</v>
      </c>
      <c r="C1051" t="s">
        <v>68</v>
      </c>
      <c r="E1051" t="s">
        <v>7094</v>
      </c>
      <c r="F1051" t="s">
        <v>7096</v>
      </c>
      <c r="G1051">
        <v>12</v>
      </c>
      <c r="H1051" t="s">
        <v>75</v>
      </c>
      <c r="I1051" t="s">
        <v>7132</v>
      </c>
      <c r="J1051" s="1442"/>
      <c r="K1051" s="1442">
        <v>46111</v>
      </c>
      <c r="L1051" s="1442">
        <v>46133</v>
      </c>
      <c r="M1051" s="1442">
        <v>46132</v>
      </c>
      <c r="N1051" t="s">
        <v>973</v>
      </c>
      <c r="O1051" s="1442">
        <v>46142</v>
      </c>
      <c r="P1051" s="1442">
        <v>46140</v>
      </c>
    </row>
    <row r="1052" spans="1:16">
      <c r="A1052" t="s">
        <v>7113</v>
      </c>
      <c r="B1052" t="s">
        <v>64</v>
      </c>
      <c r="C1052" t="s">
        <v>68</v>
      </c>
      <c r="E1052" t="s">
        <v>7105</v>
      </c>
      <c r="F1052" t="s">
        <v>7107</v>
      </c>
      <c r="G1052">
        <v>276</v>
      </c>
      <c r="H1052" t="s">
        <v>75</v>
      </c>
      <c r="I1052" t="s">
        <v>7110</v>
      </c>
      <c r="J1052" s="1442"/>
      <c r="K1052" s="1442">
        <v>46100</v>
      </c>
      <c r="L1052" s="1442">
        <v>46100</v>
      </c>
      <c r="M1052" s="1442">
        <v>46116</v>
      </c>
      <c r="N1052" t="s">
        <v>973</v>
      </c>
      <c r="O1052" s="1442">
        <v>46121</v>
      </c>
      <c r="P1052" s="1442">
        <v>46124</v>
      </c>
    </row>
    <row r="1053" spans="1:16">
      <c r="A1053" t="s">
        <v>7104</v>
      </c>
      <c r="B1053" t="s">
        <v>64</v>
      </c>
      <c r="C1053" t="s">
        <v>68</v>
      </c>
      <c r="E1053" t="s">
        <v>7105</v>
      </c>
      <c r="F1053" t="s">
        <v>7107</v>
      </c>
      <c r="G1053">
        <v>276</v>
      </c>
      <c r="H1053" t="s">
        <v>75</v>
      </c>
      <c r="I1053" t="s">
        <v>7110</v>
      </c>
      <c r="J1053" s="1442"/>
      <c r="K1053" s="1442">
        <v>46100</v>
      </c>
      <c r="L1053" s="1442">
        <v>46100</v>
      </c>
      <c r="M1053" s="1442">
        <v>46116</v>
      </c>
      <c r="N1053" t="s">
        <v>973</v>
      </c>
      <c r="O1053" s="1442">
        <v>46121</v>
      </c>
      <c r="P1053" s="1442">
        <v>46124</v>
      </c>
    </row>
    <row r="1054" spans="1:16">
      <c r="A1054" t="s">
        <v>7126</v>
      </c>
      <c r="B1054" t="s">
        <v>64</v>
      </c>
      <c r="C1054" t="s">
        <v>68</v>
      </c>
      <c r="E1054" t="s">
        <v>7082</v>
      </c>
      <c r="F1054" t="s">
        <v>7084</v>
      </c>
      <c r="G1054">
        <v>224</v>
      </c>
      <c r="H1054" t="s">
        <v>75</v>
      </c>
      <c r="I1054" t="s">
        <v>7128</v>
      </c>
      <c r="J1054" s="1442"/>
      <c r="K1054" s="1442">
        <v>46111</v>
      </c>
      <c r="L1054" s="1442">
        <v>46133</v>
      </c>
      <c r="M1054" s="1442">
        <v>46132</v>
      </c>
      <c r="N1054" t="s">
        <v>973</v>
      </c>
      <c r="O1054" s="1442">
        <v>46142</v>
      </c>
      <c r="P1054" s="1442">
        <v>46140</v>
      </c>
    </row>
    <row r="1055" spans="1:16">
      <c r="A1055" t="s">
        <v>7182</v>
      </c>
      <c r="B1055" t="s">
        <v>64</v>
      </c>
      <c r="C1055" t="s">
        <v>68</v>
      </c>
      <c r="E1055" t="s">
        <v>7184</v>
      </c>
      <c r="F1055" t="s">
        <v>7186</v>
      </c>
      <c r="G1055">
        <v>20</v>
      </c>
      <c r="H1055" t="s">
        <v>75</v>
      </c>
      <c r="I1055" t="s">
        <v>7146</v>
      </c>
      <c r="J1055" s="1442"/>
      <c r="K1055" s="1442">
        <v>46114</v>
      </c>
      <c r="L1055" s="1442">
        <v>46114</v>
      </c>
      <c r="M1055" s="1442">
        <v>46116</v>
      </c>
      <c r="N1055" t="s">
        <v>973</v>
      </c>
      <c r="O1055" s="1442">
        <v>46128</v>
      </c>
      <c r="P1055" s="1442">
        <v>46124</v>
      </c>
    </row>
    <row r="1056" spans="1:16">
      <c r="A1056" t="s">
        <v>7187</v>
      </c>
      <c r="B1056" t="s">
        <v>64</v>
      </c>
      <c r="C1056" t="s">
        <v>68</v>
      </c>
      <c r="E1056" t="s">
        <v>7189</v>
      </c>
      <c r="F1056" t="s">
        <v>7191</v>
      </c>
      <c r="G1056">
        <v>10</v>
      </c>
      <c r="H1056" t="s">
        <v>75</v>
      </c>
      <c r="I1056" t="s">
        <v>7146</v>
      </c>
      <c r="J1056" s="1442"/>
      <c r="K1056" s="1442">
        <v>46114</v>
      </c>
      <c r="L1056" s="1442">
        <v>46114</v>
      </c>
      <c r="M1056" s="1442">
        <v>46116</v>
      </c>
      <c r="N1056" t="s">
        <v>973</v>
      </c>
      <c r="O1056" s="1442">
        <v>46128</v>
      </c>
      <c r="P1056" s="1442">
        <v>46124</v>
      </c>
    </row>
    <row r="1057" spans="1:16">
      <c r="A1057" t="s">
        <v>7192</v>
      </c>
      <c r="B1057" t="s">
        <v>64</v>
      </c>
      <c r="C1057" t="s">
        <v>68</v>
      </c>
      <c r="E1057" t="s">
        <v>7194</v>
      </c>
      <c r="F1057" t="s">
        <v>7196</v>
      </c>
      <c r="G1057">
        <v>10</v>
      </c>
      <c r="H1057" t="s">
        <v>75</v>
      </c>
      <c r="I1057" t="s">
        <v>7146</v>
      </c>
      <c r="J1057" s="1442"/>
      <c r="K1057" s="1442">
        <v>46114</v>
      </c>
      <c r="L1057" s="1442">
        <v>46114</v>
      </c>
      <c r="M1057" s="1442">
        <v>46116</v>
      </c>
      <c r="N1057" t="s">
        <v>973</v>
      </c>
      <c r="O1057" s="1442">
        <v>46128</v>
      </c>
      <c r="P1057" s="1442">
        <v>46124</v>
      </c>
    </row>
    <row r="1058" spans="1:16">
      <c r="A1058" t="s">
        <v>7197</v>
      </c>
      <c r="B1058" t="s">
        <v>64</v>
      </c>
      <c r="C1058" t="s">
        <v>68</v>
      </c>
      <c r="E1058" t="s">
        <v>7198</v>
      </c>
      <c r="F1058" t="s">
        <v>7200</v>
      </c>
      <c r="G1058">
        <v>40</v>
      </c>
      <c r="H1058" t="s">
        <v>75</v>
      </c>
      <c r="I1058" t="s">
        <v>7146</v>
      </c>
      <c r="J1058" s="1442"/>
      <c r="K1058" s="1442">
        <v>46114</v>
      </c>
      <c r="L1058" s="1442">
        <v>46114</v>
      </c>
      <c r="M1058" s="1442">
        <v>46116</v>
      </c>
      <c r="N1058" t="s">
        <v>973</v>
      </c>
      <c r="O1058" s="1442">
        <v>46128</v>
      </c>
      <c r="P1058" s="1442">
        <v>46124</v>
      </c>
    </row>
    <row r="1059" spans="1:16">
      <c r="A1059" t="s">
        <v>7218</v>
      </c>
      <c r="B1059" t="s">
        <v>64</v>
      </c>
      <c r="C1059" t="s">
        <v>68</v>
      </c>
      <c r="E1059" t="s">
        <v>7220</v>
      </c>
      <c r="F1059" t="s">
        <v>7222</v>
      </c>
      <c r="G1059">
        <v>10</v>
      </c>
      <c r="H1059" t="s">
        <v>75</v>
      </c>
      <c r="I1059" t="s">
        <v>7146</v>
      </c>
      <c r="J1059" s="1442"/>
      <c r="K1059" s="1442">
        <v>46114</v>
      </c>
      <c r="L1059" s="1442">
        <v>46114</v>
      </c>
      <c r="M1059" s="1442">
        <v>46116</v>
      </c>
      <c r="N1059" t="s">
        <v>973</v>
      </c>
      <c r="O1059" s="1442">
        <v>46128</v>
      </c>
      <c r="P1059" s="1442">
        <v>46124</v>
      </c>
    </row>
    <row r="1060" spans="1:16">
      <c r="A1060" t="s">
        <v>7205</v>
      </c>
      <c r="B1060" t="s">
        <v>64</v>
      </c>
      <c r="C1060" t="s">
        <v>68</v>
      </c>
      <c r="E1060" t="s">
        <v>7070</v>
      </c>
      <c r="F1060" t="s">
        <v>7072</v>
      </c>
      <c r="G1060">
        <v>10</v>
      </c>
      <c r="H1060" t="s">
        <v>75</v>
      </c>
      <c r="I1060" t="s">
        <v>7146</v>
      </c>
      <c r="J1060" s="1442"/>
      <c r="K1060" s="1442">
        <v>46114</v>
      </c>
      <c r="L1060" s="1442">
        <v>46114</v>
      </c>
      <c r="M1060" s="1442">
        <v>46116</v>
      </c>
      <c r="N1060" t="s">
        <v>973</v>
      </c>
      <c r="O1060" s="1442">
        <v>46128</v>
      </c>
      <c r="P1060" s="1442">
        <v>46124</v>
      </c>
    </row>
    <row r="1061" spans="1:16">
      <c r="A1061" t="s">
        <v>7208</v>
      </c>
      <c r="B1061" t="s">
        <v>64</v>
      </c>
      <c r="C1061" t="s">
        <v>68</v>
      </c>
      <c r="E1061" t="s">
        <v>7210</v>
      </c>
      <c r="F1061" t="s">
        <v>7212</v>
      </c>
      <c r="G1061">
        <v>10</v>
      </c>
      <c r="H1061" t="s">
        <v>75</v>
      </c>
      <c r="I1061" t="s">
        <v>7146</v>
      </c>
      <c r="J1061" s="1442"/>
      <c r="K1061" s="1442">
        <v>46114</v>
      </c>
      <c r="L1061" s="1442">
        <v>46114</v>
      </c>
      <c r="M1061" s="1442">
        <v>46116</v>
      </c>
      <c r="N1061" t="s">
        <v>973</v>
      </c>
      <c r="O1061" s="1442">
        <v>46128</v>
      </c>
      <c r="P1061" s="1442">
        <v>46124</v>
      </c>
    </row>
    <row r="1062" spans="1:16">
      <c r="A1062" t="s">
        <v>7223</v>
      </c>
      <c r="B1062" t="s">
        <v>64</v>
      </c>
      <c r="C1062" t="s">
        <v>68</v>
      </c>
      <c r="E1062" t="s">
        <v>7225</v>
      </c>
      <c r="F1062" t="s">
        <v>7227</v>
      </c>
      <c r="G1062">
        <v>40</v>
      </c>
      <c r="H1062" t="s">
        <v>75</v>
      </c>
      <c r="I1062" t="s">
        <v>7146</v>
      </c>
      <c r="J1062" s="1442"/>
      <c r="K1062" s="1442">
        <v>46114</v>
      </c>
      <c r="L1062" s="1442">
        <v>46114</v>
      </c>
      <c r="M1062" s="1442">
        <v>46116</v>
      </c>
      <c r="N1062" t="s">
        <v>973</v>
      </c>
      <c r="O1062" s="1442">
        <v>46128</v>
      </c>
      <c r="P1062" s="1442">
        <v>46124</v>
      </c>
    </row>
    <row r="1063" spans="1:16">
      <c r="A1063" t="s">
        <v>7201</v>
      </c>
      <c r="B1063" t="s">
        <v>64</v>
      </c>
      <c r="C1063" t="s">
        <v>68</v>
      </c>
      <c r="E1063" t="s">
        <v>7202</v>
      </c>
      <c r="F1063" t="s">
        <v>7204</v>
      </c>
      <c r="G1063">
        <v>10</v>
      </c>
      <c r="H1063" t="s">
        <v>75</v>
      </c>
      <c r="I1063" t="s">
        <v>7146</v>
      </c>
      <c r="J1063" s="1442"/>
      <c r="K1063" s="1442">
        <v>46114</v>
      </c>
      <c r="L1063" s="1442">
        <v>46114</v>
      </c>
      <c r="M1063" s="1442">
        <v>46116</v>
      </c>
      <c r="N1063" t="s">
        <v>973</v>
      </c>
      <c r="O1063" s="1442">
        <v>46128</v>
      </c>
      <c r="P1063" s="1442">
        <v>46124</v>
      </c>
    </row>
    <row r="1064" spans="1:16">
      <c r="A1064" t="s">
        <v>1000</v>
      </c>
      <c r="B1064" t="s">
        <v>64</v>
      </c>
      <c r="C1064" t="s">
        <v>68</v>
      </c>
      <c r="E1064" t="s">
        <v>7179</v>
      </c>
      <c r="F1064" t="s">
        <v>7181</v>
      </c>
      <c r="G1064">
        <v>50</v>
      </c>
      <c r="H1064" t="s">
        <v>75</v>
      </c>
      <c r="I1064" t="s">
        <v>7146</v>
      </c>
      <c r="J1064" s="1442"/>
      <c r="K1064" s="1442">
        <v>46114</v>
      </c>
      <c r="L1064" s="1442">
        <v>46114</v>
      </c>
      <c r="M1064" s="1442">
        <v>46116</v>
      </c>
      <c r="N1064" t="s">
        <v>973</v>
      </c>
      <c r="O1064" s="1442">
        <v>46128</v>
      </c>
      <c r="P1064" s="1442">
        <v>46124</v>
      </c>
    </row>
    <row r="1065" spans="1:16">
      <c r="A1065" t="s">
        <v>7213</v>
      </c>
      <c r="B1065" t="s">
        <v>64</v>
      </c>
      <c r="C1065" t="s">
        <v>68</v>
      </c>
      <c r="E1065" t="s">
        <v>7215</v>
      </c>
      <c r="F1065" t="s">
        <v>7217</v>
      </c>
      <c r="G1065">
        <v>40</v>
      </c>
      <c r="H1065" t="s">
        <v>75</v>
      </c>
      <c r="I1065" t="s">
        <v>7146</v>
      </c>
      <c r="J1065" s="1442"/>
      <c r="K1065" s="1442">
        <v>46114</v>
      </c>
      <c r="L1065" s="1442">
        <v>46114</v>
      </c>
      <c r="M1065" s="1442">
        <v>46116</v>
      </c>
      <c r="N1065" t="s">
        <v>973</v>
      </c>
      <c r="O1065" s="1442">
        <v>46128</v>
      </c>
      <c r="P1065" s="1442">
        <v>46124</v>
      </c>
    </row>
    <row r="1066" spans="1:16">
      <c r="A1066" t="s">
        <v>1149</v>
      </c>
      <c r="B1066" t="s">
        <v>64</v>
      </c>
      <c r="C1066" t="s">
        <v>68</v>
      </c>
      <c r="E1066" t="s">
        <v>7171</v>
      </c>
      <c r="F1066" t="s">
        <v>7173</v>
      </c>
      <c r="G1066">
        <v>10</v>
      </c>
      <c r="H1066" t="s">
        <v>75</v>
      </c>
      <c r="I1066" t="s">
        <v>7146</v>
      </c>
      <c r="J1066" s="1442"/>
      <c r="K1066" s="1442">
        <v>46114</v>
      </c>
      <c r="L1066" s="1442">
        <v>46114</v>
      </c>
      <c r="M1066" s="1442">
        <v>46116</v>
      </c>
      <c r="N1066" t="s">
        <v>973</v>
      </c>
      <c r="O1066" s="1442">
        <v>46128</v>
      </c>
      <c r="P1066" s="1442">
        <v>46124</v>
      </c>
    </row>
    <row r="1067" spans="1:16">
      <c r="A1067" t="s">
        <v>7167</v>
      </c>
      <c r="B1067" t="s">
        <v>64</v>
      </c>
      <c r="C1067" t="s">
        <v>68</v>
      </c>
      <c r="E1067" t="s">
        <v>7078</v>
      </c>
      <c r="F1067" t="s">
        <v>7080</v>
      </c>
      <c r="G1067">
        <v>10</v>
      </c>
      <c r="H1067" t="s">
        <v>75</v>
      </c>
      <c r="I1067" t="s">
        <v>7146</v>
      </c>
      <c r="J1067" s="1442"/>
      <c r="K1067" s="1442">
        <v>46114</v>
      </c>
      <c r="L1067" s="1442">
        <v>46114</v>
      </c>
      <c r="M1067" s="1442">
        <v>46116</v>
      </c>
      <c r="N1067" t="s">
        <v>973</v>
      </c>
      <c r="O1067" s="1442">
        <v>46128</v>
      </c>
      <c r="P1067" s="1442">
        <v>46124</v>
      </c>
    </row>
    <row r="1068" spans="1:16">
      <c r="A1068" t="s">
        <v>963</v>
      </c>
      <c r="B1068" t="s">
        <v>64</v>
      </c>
      <c r="C1068" t="s">
        <v>68</v>
      </c>
      <c r="E1068" t="s">
        <v>7164</v>
      </c>
      <c r="F1068" t="s">
        <v>7166</v>
      </c>
      <c r="G1068">
        <v>10</v>
      </c>
      <c r="H1068" t="s">
        <v>75</v>
      </c>
      <c r="I1068" t="s">
        <v>7146</v>
      </c>
      <c r="J1068" s="1442"/>
      <c r="K1068" s="1442">
        <v>46114</v>
      </c>
      <c r="L1068" s="1442">
        <v>46114</v>
      </c>
      <c r="M1068" s="1442">
        <v>46116</v>
      </c>
      <c r="N1068" t="s">
        <v>973</v>
      </c>
      <c r="O1068" s="1442">
        <v>46128</v>
      </c>
      <c r="P1068" s="1442">
        <v>46124</v>
      </c>
    </row>
    <row r="1069" spans="1:16">
      <c r="A1069" t="s">
        <v>985</v>
      </c>
      <c r="B1069" t="s">
        <v>64</v>
      </c>
      <c r="C1069" t="s">
        <v>68</v>
      </c>
      <c r="E1069" t="s">
        <v>7160</v>
      </c>
      <c r="F1069" t="s">
        <v>7162</v>
      </c>
      <c r="G1069">
        <v>20</v>
      </c>
      <c r="H1069" t="s">
        <v>75</v>
      </c>
      <c r="I1069" t="s">
        <v>7146</v>
      </c>
      <c r="J1069" s="1442"/>
      <c r="K1069" s="1442">
        <v>46114</v>
      </c>
      <c r="L1069" s="1442">
        <v>46114</v>
      </c>
      <c r="M1069" s="1442">
        <v>46116</v>
      </c>
      <c r="N1069" t="s">
        <v>973</v>
      </c>
      <c r="O1069" s="1442">
        <v>46128</v>
      </c>
      <c r="P1069" s="1442">
        <v>46124</v>
      </c>
    </row>
    <row r="1070" spans="1:16">
      <c r="A1070" t="s">
        <v>1427</v>
      </c>
      <c r="B1070" t="s">
        <v>64</v>
      </c>
      <c r="C1070" t="s">
        <v>68</v>
      </c>
      <c r="E1070" t="s">
        <v>7156</v>
      </c>
      <c r="F1070" t="s">
        <v>7158</v>
      </c>
      <c r="G1070">
        <v>50</v>
      </c>
      <c r="H1070" t="s">
        <v>75</v>
      </c>
      <c r="I1070" t="s">
        <v>7146</v>
      </c>
      <c r="J1070" s="1442"/>
      <c r="K1070" s="1442">
        <v>46114</v>
      </c>
      <c r="L1070" s="1442">
        <v>46114</v>
      </c>
      <c r="M1070" s="1442">
        <v>46116</v>
      </c>
      <c r="N1070" t="s">
        <v>973</v>
      </c>
      <c r="O1070" s="1442">
        <v>46128</v>
      </c>
      <c r="P1070" s="1442">
        <v>46124</v>
      </c>
    </row>
    <row r="1071" spans="1:16">
      <c r="A1071" t="s">
        <v>7154</v>
      </c>
      <c r="B1071" t="s">
        <v>64</v>
      </c>
      <c r="C1071" t="s">
        <v>68</v>
      </c>
      <c r="E1071" t="s">
        <v>7094</v>
      </c>
      <c r="F1071" t="s">
        <v>7096</v>
      </c>
      <c r="G1071">
        <v>6</v>
      </c>
      <c r="H1071" t="s">
        <v>75</v>
      </c>
      <c r="I1071" t="s">
        <v>7146</v>
      </c>
      <c r="J1071" s="1442"/>
      <c r="K1071" s="1442">
        <v>46114</v>
      </c>
      <c r="L1071" s="1442">
        <v>46114</v>
      </c>
      <c r="M1071" s="1442">
        <v>46116</v>
      </c>
      <c r="N1071" t="s">
        <v>973</v>
      </c>
      <c r="O1071" s="1442">
        <v>46128</v>
      </c>
      <c r="P1071" s="1442">
        <v>46124</v>
      </c>
    </row>
    <row r="1072" spans="1:16">
      <c r="A1072" t="s">
        <v>7153</v>
      </c>
      <c r="B1072" t="s">
        <v>64</v>
      </c>
      <c r="C1072" t="s">
        <v>68</v>
      </c>
      <c r="E1072" t="s">
        <v>7088</v>
      </c>
      <c r="F1072" t="s">
        <v>7089</v>
      </c>
      <c r="G1072">
        <v>6</v>
      </c>
      <c r="H1072" t="s">
        <v>75</v>
      </c>
      <c r="I1072" t="s">
        <v>7146</v>
      </c>
      <c r="J1072" s="1442"/>
      <c r="K1072" s="1442">
        <v>46114</v>
      </c>
      <c r="L1072" s="1442">
        <v>46114</v>
      </c>
      <c r="M1072" s="1442">
        <v>46116</v>
      </c>
      <c r="N1072" t="s">
        <v>973</v>
      </c>
      <c r="O1072" s="1442">
        <v>46128</v>
      </c>
      <c r="P1072" s="1442">
        <v>46124</v>
      </c>
    </row>
    <row r="1073" spans="1:16">
      <c r="A1073" t="s">
        <v>7151</v>
      </c>
      <c r="B1073" t="s">
        <v>64</v>
      </c>
      <c r="C1073" t="s">
        <v>68</v>
      </c>
      <c r="E1073" t="s">
        <v>7152</v>
      </c>
      <c r="F1073" t="s">
        <v>7107</v>
      </c>
      <c r="G1073">
        <v>8</v>
      </c>
      <c r="H1073" t="s">
        <v>75</v>
      </c>
      <c r="I1073" t="s">
        <v>7146</v>
      </c>
      <c r="J1073" s="1442"/>
      <c r="K1073" s="1442">
        <v>46114</v>
      </c>
      <c r="L1073" s="1442">
        <v>46114</v>
      </c>
      <c r="M1073" s="1442">
        <v>46116</v>
      </c>
      <c r="N1073" t="s">
        <v>973</v>
      </c>
      <c r="O1073" s="1442">
        <v>46128</v>
      </c>
      <c r="P1073" s="1442">
        <v>46124</v>
      </c>
    </row>
    <row r="1074" spans="1:16">
      <c r="A1074" t="s">
        <v>7149</v>
      </c>
      <c r="B1074" t="s">
        <v>64</v>
      </c>
      <c r="C1074" t="s">
        <v>68</v>
      </c>
      <c r="E1074" t="s">
        <v>7105</v>
      </c>
      <c r="F1074" t="s">
        <v>7107</v>
      </c>
      <c r="G1074">
        <v>24</v>
      </c>
      <c r="H1074" t="s">
        <v>75</v>
      </c>
      <c r="I1074" t="s">
        <v>7146</v>
      </c>
      <c r="J1074" s="1442"/>
      <c r="K1074" s="1442">
        <v>46114</v>
      </c>
      <c r="L1074" s="1442">
        <v>46114</v>
      </c>
      <c r="M1074" s="1442">
        <v>46116</v>
      </c>
      <c r="N1074" t="s">
        <v>973</v>
      </c>
      <c r="O1074" s="1442">
        <v>46128</v>
      </c>
      <c r="P1074" s="1442">
        <v>46124</v>
      </c>
    </row>
    <row r="1075" spans="1:16">
      <c r="A1075" t="s">
        <v>7145</v>
      </c>
      <c r="B1075" t="s">
        <v>64</v>
      </c>
      <c r="C1075" t="s">
        <v>68</v>
      </c>
      <c r="E1075" t="s">
        <v>7105</v>
      </c>
      <c r="F1075" t="s">
        <v>7107</v>
      </c>
      <c r="G1075">
        <v>220</v>
      </c>
      <c r="H1075" t="s">
        <v>75</v>
      </c>
      <c r="I1075" t="s">
        <v>7146</v>
      </c>
      <c r="J1075" s="1442"/>
      <c r="K1075" s="1442">
        <v>46114</v>
      </c>
      <c r="L1075" s="1442">
        <v>46114</v>
      </c>
      <c r="M1075" s="1442">
        <v>46116</v>
      </c>
      <c r="N1075" t="s">
        <v>973</v>
      </c>
      <c r="O1075" s="1442">
        <v>46128</v>
      </c>
      <c r="P1075" s="1442">
        <v>46124</v>
      </c>
    </row>
    <row r="1076" spans="1:16">
      <c r="A1076" t="s">
        <v>1007</v>
      </c>
      <c r="B1076" t="s">
        <v>64</v>
      </c>
      <c r="C1076" t="s">
        <v>68</v>
      </c>
      <c r="E1076" t="s">
        <v>7175</v>
      </c>
      <c r="F1076" t="s">
        <v>7177</v>
      </c>
      <c r="G1076">
        <v>10</v>
      </c>
      <c r="H1076" t="s">
        <v>75</v>
      </c>
      <c r="I1076" t="s">
        <v>7146</v>
      </c>
      <c r="J1076" s="1442"/>
      <c r="K1076" s="1442">
        <v>46114</v>
      </c>
      <c r="L1076" s="1442">
        <v>46114</v>
      </c>
      <c r="M1076" s="1442">
        <v>46116</v>
      </c>
      <c r="N1076" t="s">
        <v>973</v>
      </c>
      <c r="O1076" s="1442">
        <v>46128</v>
      </c>
      <c r="P1076" s="1442">
        <v>46124</v>
      </c>
    </row>
    <row r="1077" spans="1:16">
      <c r="A1077" t="s">
        <v>7228</v>
      </c>
      <c r="B1077" t="s">
        <v>64</v>
      </c>
      <c r="C1077" t="s">
        <v>100</v>
      </c>
      <c r="E1077" t="s">
        <v>7231</v>
      </c>
      <c r="F1077" t="s">
        <v>7233</v>
      </c>
      <c r="G1077">
        <v>16</v>
      </c>
      <c r="H1077" t="s">
        <v>75</v>
      </c>
      <c r="I1077" t="s">
        <v>7234</v>
      </c>
      <c r="J1077" s="1442"/>
      <c r="K1077" s="1442">
        <v>46125</v>
      </c>
      <c r="L1077" s="1442">
        <v>46126</v>
      </c>
      <c r="M1077" s="1442">
        <v>46127</v>
      </c>
      <c r="N1077" t="s">
        <v>973</v>
      </c>
      <c r="O1077" s="1442">
        <v>46132</v>
      </c>
      <c r="P1077" s="1442">
        <v>46141</v>
      </c>
    </row>
    <row r="1078" spans="1:16">
      <c r="A1078" t="s">
        <v>7247</v>
      </c>
      <c r="B1078" t="s">
        <v>64</v>
      </c>
      <c r="C1078" t="s">
        <v>100</v>
      </c>
      <c r="E1078" t="s">
        <v>7231</v>
      </c>
      <c r="F1078" t="s">
        <v>7233</v>
      </c>
      <c r="G1078">
        <v>16</v>
      </c>
      <c r="H1078" t="s">
        <v>75</v>
      </c>
      <c r="I1078" t="s">
        <v>7249</v>
      </c>
      <c r="J1078" s="1442"/>
      <c r="K1078" s="1442">
        <v>46181</v>
      </c>
      <c r="L1078" s="1442">
        <v>46182</v>
      </c>
      <c r="M1078" s="1442">
        <v>46181</v>
      </c>
      <c r="N1078" t="s">
        <v>973</v>
      </c>
      <c r="O1078" s="1442">
        <v>46196</v>
      </c>
      <c r="P1078" s="1442">
        <v>46195</v>
      </c>
    </row>
    <row r="1079" spans="1:16">
      <c r="A1079" t="s">
        <v>7314</v>
      </c>
      <c r="B1079" t="s">
        <v>64</v>
      </c>
      <c r="C1079" t="s">
        <v>100</v>
      </c>
      <c r="E1079" t="s">
        <v>7105</v>
      </c>
      <c r="F1079" t="s">
        <v>7107</v>
      </c>
      <c r="G1079">
        <v>24</v>
      </c>
      <c r="H1079" t="s">
        <v>75</v>
      </c>
      <c r="I1079" t="s">
        <v>7305</v>
      </c>
      <c r="J1079" s="1442"/>
      <c r="K1079" s="1442">
        <v>46202</v>
      </c>
      <c r="L1079" s="1442">
        <v>46202</v>
      </c>
      <c r="M1079" s="1442">
        <v>46202</v>
      </c>
      <c r="N1079" t="s">
        <v>973</v>
      </c>
      <c r="O1079" s="1442">
        <v>46220</v>
      </c>
      <c r="P1079" s="1442">
        <v>46209</v>
      </c>
    </row>
    <row r="1080" spans="1:16">
      <c r="A1080" t="s">
        <v>7310</v>
      </c>
      <c r="B1080" t="s">
        <v>64</v>
      </c>
      <c r="C1080" t="s">
        <v>100</v>
      </c>
      <c r="E1080" t="s">
        <v>7105</v>
      </c>
      <c r="F1080" t="s">
        <v>7107</v>
      </c>
      <c r="G1080">
        <v>252</v>
      </c>
      <c r="H1080" t="s">
        <v>75</v>
      </c>
      <c r="I1080" t="s">
        <v>7305</v>
      </c>
      <c r="J1080" s="1442"/>
      <c r="K1080" s="1442">
        <v>46202</v>
      </c>
      <c r="L1080" s="1442">
        <v>46202</v>
      </c>
      <c r="M1080" s="1442">
        <v>46202</v>
      </c>
      <c r="N1080" t="s">
        <v>973</v>
      </c>
      <c r="O1080" s="1442">
        <v>46220</v>
      </c>
      <c r="P1080" s="1442">
        <v>46209</v>
      </c>
    </row>
    <row r="1081" spans="1:16">
      <c r="A1081" t="s">
        <v>7302</v>
      </c>
      <c r="B1081" t="s">
        <v>64</v>
      </c>
      <c r="C1081" t="s">
        <v>100</v>
      </c>
      <c r="E1081" t="s">
        <v>7105</v>
      </c>
      <c r="F1081" t="s">
        <v>7107</v>
      </c>
      <c r="G1081">
        <v>552</v>
      </c>
      <c r="H1081" t="s">
        <v>75</v>
      </c>
      <c r="I1081" t="s">
        <v>7305</v>
      </c>
      <c r="J1081" s="1442"/>
      <c r="K1081" s="1442">
        <v>46202</v>
      </c>
      <c r="L1081" s="1442">
        <v>46210</v>
      </c>
      <c r="M1081" s="1442">
        <v>46211</v>
      </c>
      <c r="N1081" t="s">
        <v>973</v>
      </c>
      <c r="O1081" s="1442">
        <v>46220</v>
      </c>
      <c r="P1081" s="1442">
        <v>46218</v>
      </c>
    </row>
    <row r="1082" spans="1:16">
      <c r="A1082" t="s">
        <v>7294</v>
      </c>
      <c r="B1082" t="s">
        <v>64</v>
      </c>
      <c r="C1082" t="s">
        <v>100</v>
      </c>
      <c r="E1082" t="s">
        <v>7082</v>
      </c>
      <c r="F1082" t="s">
        <v>7084</v>
      </c>
      <c r="G1082">
        <v>214</v>
      </c>
      <c r="H1082" t="s">
        <v>75</v>
      </c>
      <c r="I1082" t="s">
        <v>7296</v>
      </c>
      <c r="J1082" s="1442"/>
      <c r="K1082" s="1442">
        <v>46196</v>
      </c>
      <c r="L1082" s="1442">
        <v>46197</v>
      </c>
      <c r="M1082" s="1442">
        <v>46203</v>
      </c>
      <c r="N1082" t="s">
        <v>973</v>
      </c>
      <c r="O1082" s="1442">
        <v>46211</v>
      </c>
      <c r="P1082" s="1442">
        <v>46210</v>
      </c>
    </row>
    <row r="1083" spans="1:16">
      <c r="A1083" t="s">
        <v>7299</v>
      </c>
      <c r="B1083" t="s">
        <v>64</v>
      </c>
      <c r="C1083" t="s">
        <v>100</v>
      </c>
      <c r="E1083" t="s">
        <v>7082</v>
      </c>
      <c r="F1083" t="s">
        <v>7084</v>
      </c>
      <c r="G1083">
        <v>10</v>
      </c>
      <c r="H1083" t="s">
        <v>75</v>
      </c>
      <c r="I1083" t="s">
        <v>7296</v>
      </c>
      <c r="J1083" s="1442"/>
      <c r="K1083" s="1442">
        <v>46196</v>
      </c>
      <c r="L1083" s="1442">
        <v>46197</v>
      </c>
      <c r="M1083" s="1442">
        <v>46203</v>
      </c>
      <c r="N1083" t="s">
        <v>973</v>
      </c>
      <c r="O1083" s="1442">
        <v>46211</v>
      </c>
      <c r="P1083" s="1442">
        <v>46210</v>
      </c>
    </row>
    <row r="1084" spans="1:16">
      <c r="A1084" t="s">
        <v>7300</v>
      </c>
      <c r="B1084" t="s">
        <v>64</v>
      </c>
      <c r="C1084" t="s">
        <v>100</v>
      </c>
      <c r="E1084" t="s">
        <v>7094</v>
      </c>
      <c r="F1084" t="s">
        <v>7096</v>
      </c>
      <c r="G1084">
        <v>338</v>
      </c>
      <c r="H1084" t="s">
        <v>75</v>
      </c>
      <c r="I1084" t="s">
        <v>7296</v>
      </c>
      <c r="J1084" s="1442"/>
      <c r="K1084" s="1442">
        <v>46196</v>
      </c>
      <c r="L1084" s="1442">
        <v>46197</v>
      </c>
      <c r="M1084" s="1442">
        <v>46203</v>
      </c>
      <c r="N1084" t="s">
        <v>973</v>
      </c>
      <c r="O1084" s="1442">
        <v>46211</v>
      </c>
      <c r="P1084" s="1442">
        <v>46210</v>
      </c>
    </row>
    <row r="1085" spans="1:16">
      <c r="A1085" t="s">
        <v>7301</v>
      </c>
      <c r="B1085" t="s">
        <v>64</v>
      </c>
      <c r="C1085" t="s">
        <v>100</v>
      </c>
      <c r="E1085" t="s">
        <v>7094</v>
      </c>
      <c r="F1085" t="s">
        <v>7096</v>
      </c>
      <c r="G1085">
        <v>12</v>
      </c>
      <c r="H1085" t="s">
        <v>75</v>
      </c>
      <c r="I1085" t="s">
        <v>7296</v>
      </c>
      <c r="J1085" s="1442"/>
      <c r="K1085" s="1442">
        <v>46196</v>
      </c>
      <c r="L1085" s="1442">
        <v>46197</v>
      </c>
      <c r="M1085" s="1442">
        <v>46203</v>
      </c>
      <c r="N1085" t="s">
        <v>973</v>
      </c>
      <c r="O1085" s="1442">
        <v>46211</v>
      </c>
      <c r="P1085" s="1442">
        <v>46210</v>
      </c>
    </row>
    <row r="1086" spans="1:16">
      <c r="A1086" t="s">
        <v>7289</v>
      </c>
      <c r="B1086" t="s">
        <v>64</v>
      </c>
      <c r="C1086" t="s">
        <v>100</v>
      </c>
      <c r="E1086" t="s">
        <v>7091</v>
      </c>
      <c r="F1086" t="s">
        <v>7092</v>
      </c>
      <c r="G1086">
        <v>2</v>
      </c>
      <c r="H1086" t="s">
        <v>75</v>
      </c>
      <c r="I1086" t="s">
        <v>7282</v>
      </c>
      <c r="J1086" s="1442"/>
      <c r="K1086" s="1442">
        <v>46200</v>
      </c>
      <c r="L1086" s="1442">
        <v>46202</v>
      </c>
      <c r="M1086" s="1442">
        <v>46201</v>
      </c>
      <c r="N1086" t="s">
        <v>973</v>
      </c>
      <c r="O1086" s="1442">
        <v>46216</v>
      </c>
      <c r="P1086" s="1442">
        <v>46208</v>
      </c>
    </row>
    <row r="1087" spans="1:16">
      <c r="A1087" t="s">
        <v>7290</v>
      </c>
      <c r="B1087" t="s">
        <v>64</v>
      </c>
      <c r="C1087" t="s">
        <v>100</v>
      </c>
      <c r="E1087" t="s">
        <v>7094</v>
      </c>
      <c r="F1087" t="s">
        <v>7096</v>
      </c>
      <c r="G1087">
        <v>48</v>
      </c>
      <c r="H1087" t="s">
        <v>75</v>
      </c>
      <c r="I1087" t="s">
        <v>7282</v>
      </c>
      <c r="J1087" s="1442"/>
      <c r="K1087" s="1442">
        <v>46200</v>
      </c>
      <c r="L1087" s="1442">
        <v>46202</v>
      </c>
      <c r="M1087" s="1442">
        <v>46201</v>
      </c>
      <c r="N1087" t="s">
        <v>973</v>
      </c>
      <c r="O1087" s="1442">
        <v>46216</v>
      </c>
      <c r="P1087" s="1442">
        <v>46208</v>
      </c>
    </row>
    <row r="1088" spans="1:16">
      <c r="A1088" t="s">
        <v>7292</v>
      </c>
      <c r="B1088" t="s">
        <v>64</v>
      </c>
      <c r="C1088" t="s">
        <v>100</v>
      </c>
      <c r="E1088" t="s">
        <v>7141</v>
      </c>
      <c r="F1088" t="s">
        <v>7096</v>
      </c>
      <c r="G1088">
        <v>2</v>
      </c>
      <c r="H1088" t="s">
        <v>75</v>
      </c>
      <c r="I1088" t="s">
        <v>7282</v>
      </c>
      <c r="J1088" s="1442"/>
      <c r="K1088" s="1442">
        <v>46200</v>
      </c>
      <c r="L1088" s="1442">
        <v>46202</v>
      </c>
      <c r="M1088" s="1442">
        <v>46201</v>
      </c>
      <c r="N1088" t="s">
        <v>973</v>
      </c>
      <c r="O1088" s="1442">
        <v>46216</v>
      </c>
      <c r="P1088" s="1442">
        <v>46208</v>
      </c>
    </row>
    <row r="1089" spans="1:16">
      <c r="A1089" t="s">
        <v>7293</v>
      </c>
      <c r="B1089" t="s">
        <v>64</v>
      </c>
      <c r="C1089" t="s">
        <v>100</v>
      </c>
      <c r="E1089" t="s">
        <v>7070</v>
      </c>
      <c r="F1089" t="s">
        <v>7072</v>
      </c>
      <c r="G1089">
        <v>78</v>
      </c>
      <c r="H1089" t="s">
        <v>75</v>
      </c>
      <c r="I1089" t="s">
        <v>7282</v>
      </c>
      <c r="J1089" s="1442"/>
      <c r="K1089" s="1442">
        <v>46200</v>
      </c>
      <c r="L1089" s="1442">
        <v>46202</v>
      </c>
      <c r="M1089" s="1442">
        <v>46201</v>
      </c>
      <c r="N1089" t="s">
        <v>973</v>
      </c>
      <c r="O1089" s="1442">
        <v>46216</v>
      </c>
      <c r="P1089" s="1442">
        <v>46208</v>
      </c>
    </row>
    <row r="1090" spans="1:16">
      <c r="A1090" t="s">
        <v>7287</v>
      </c>
      <c r="B1090" t="s">
        <v>64</v>
      </c>
      <c r="C1090" t="s">
        <v>100</v>
      </c>
      <c r="E1090" t="s">
        <v>7088</v>
      </c>
      <c r="F1090" t="s">
        <v>7089</v>
      </c>
      <c r="G1090">
        <v>2</v>
      </c>
      <c r="H1090" t="s">
        <v>75</v>
      </c>
      <c r="I1090" t="s">
        <v>7282</v>
      </c>
      <c r="J1090" s="1442"/>
      <c r="K1090" s="1442">
        <v>46200</v>
      </c>
      <c r="L1090" s="1442">
        <v>46202</v>
      </c>
      <c r="M1090" s="1442">
        <v>46201</v>
      </c>
      <c r="N1090" t="s">
        <v>973</v>
      </c>
      <c r="O1090" s="1442">
        <v>46216</v>
      </c>
      <c r="P1090" s="1442">
        <v>46208</v>
      </c>
    </row>
    <row r="1091" spans="1:16">
      <c r="A1091" t="s">
        <v>7280</v>
      </c>
      <c r="B1091" t="s">
        <v>64</v>
      </c>
      <c r="C1091" t="s">
        <v>100</v>
      </c>
      <c r="E1091" t="s">
        <v>7082</v>
      </c>
      <c r="F1091" t="s">
        <v>7084</v>
      </c>
      <c r="G1091">
        <v>114</v>
      </c>
      <c r="H1091" t="s">
        <v>75</v>
      </c>
      <c r="I1091" t="s">
        <v>7282</v>
      </c>
      <c r="J1091" s="1442"/>
      <c r="K1091" s="1442">
        <v>46200</v>
      </c>
      <c r="L1091" s="1442">
        <v>46202</v>
      </c>
      <c r="M1091" s="1442">
        <v>46201</v>
      </c>
      <c r="N1091" t="s">
        <v>973</v>
      </c>
      <c r="O1091" s="1442">
        <v>46216</v>
      </c>
      <c r="P1091" s="1442">
        <v>46208</v>
      </c>
    </row>
    <row r="1092" spans="1:16">
      <c r="A1092" t="s">
        <v>7288</v>
      </c>
      <c r="B1092" t="s">
        <v>64</v>
      </c>
      <c r="C1092" t="s">
        <v>100</v>
      </c>
      <c r="E1092" t="s">
        <v>7091</v>
      </c>
      <c r="F1092" t="s">
        <v>7092</v>
      </c>
      <c r="G1092">
        <v>58</v>
      </c>
      <c r="H1092" t="s">
        <v>75</v>
      </c>
      <c r="I1092" t="s">
        <v>7282</v>
      </c>
      <c r="J1092" s="1442"/>
      <c r="K1092" s="1442">
        <v>46200</v>
      </c>
      <c r="L1092" s="1442">
        <v>46202</v>
      </c>
      <c r="M1092" s="1442">
        <v>46201</v>
      </c>
      <c r="N1092" t="s">
        <v>973</v>
      </c>
      <c r="O1092" s="1442">
        <v>46216</v>
      </c>
      <c r="P1092" s="1442">
        <v>46208</v>
      </c>
    </row>
    <row r="1093" spans="1:16">
      <c r="A1093" t="s">
        <v>7339</v>
      </c>
      <c r="B1093" t="s">
        <v>64</v>
      </c>
      <c r="C1093" t="s">
        <v>65</v>
      </c>
      <c r="E1093" t="s">
        <v>7082</v>
      </c>
      <c r="F1093" t="s">
        <v>7084</v>
      </c>
      <c r="G1093">
        <v>96</v>
      </c>
      <c r="H1093" t="s">
        <v>75</v>
      </c>
      <c r="I1093" t="s">
        <v>7341</v>
      </c>
      <c r="J1093" s="1442"/>
      <c r="K1093" s="1442">
        <v>46226</v>
      </c>
      <c r="L1093" s="1442">
        <v>46233</v>
      </c>
      <c r="M1093" s="1442">
        <v>46233</v>
      </c>
      <c r="N1093" t="s">
        <v>973</v>
      </c>
      <c r="O1093" s="1442">
        <v>46244</v>
      </c>
      <c r="P1093" s="1442">
        <v>46240</v>
      </c>
    </row>
    <row r="1094" spans="1:16">
      <c r="A1094" t="s">
        <v>7344</v>
      </c>
      <c r="B1094" t="s">
        <v>64</v>
      </c>
      <c r="C1094" t="s">
        <v>65</v>
      </c>
      <c r="E1094" t="s">
        <v>7094</v>
      </c>
      <c r="F1094" t="s">
        <v>7096</v>
      </c>
      <c r="G1094">
        <v>194</v>
      </c>
      <c r="H1094" t="s">
        <v>75</v>
      </c>
      <c r="I1094" t="s">
        <v>7341</v>
      </c>
      <c r="J1094" s="1442"/>
      <c r="K1094" s="1442">
        <v>46226</v>
      </c>
      <c r="L1094" s="1442">
        <v>46233</v>
      </c>
      <c r="M1094" s="1442">
        <v>46233</v>
      </c>
      <c r="N1094" t="s">
        <v>973</v>
      </c>
      <c r="O1094" s="1442">
        <v>46244</v>
      </c>
      <c r="P1094" s="1442">
        <v>46240</v>
      </c>
    </row>
    <row r="1095" spans="1:16">
      <c r="A1095" t="s">
        <v>7352</v>
      </c>
      <c r="B1095" t="s">
        <v>64</v>
      </c>
      <c r="C1095" t="s">
        <v>65</v>
      </c>
      <c r="E1095" t="s">
        <v>7082</v>
      </c>
      <c r="F1095" t="s">
        <v>7084</v>
      </c>
      <c r="G1095">
        <v>224</v>
      </c>
      <c r="H1095" t="s">
        <v>75</v>
      </c>
      <c r="I1095" t="s">
        <v>7341</v>
      </c>
      <c r="J1095" s="1442"/>
      <c r="K1095" s="1442">
        <v>46226</v>
      </c>
      <c r="L1095" s="1442">
        <v>46233</v>
      </c>
      <c r="M1095" s="1442">
        <v>46233</v>
      </c>
      <c r="N1095" t="s">
        <v>973</v>
      </c>
      <c r="O1095" s="1442">
        <v>46244</v>
      </c>
      <c r="P1095" s="1442">
        <v>46240</v>
      </c>
    </row>
    <row r="1096" spans="1:16">
      <c r="A1096" t="s">
        <v>7346</v>
      </c>
      <c r="B1096" t="s">
        <v>64</v>
      </c>
      <c r="C1096" t="s">
        <v>65</v>
      </c>
      <c r="E1096" t="s">
        <v>7078</v>
      </c>
      <c r="F1096" t="s">
        <v>7080</v>
      </c>
      <c r="G1096">
        <v>72</v>
      </c>
      <c r="H1096" t="s">
        <v>75</v>
      </c>
      <c r="I1096" t="s">
        <v>7341</v>
      </c>
      <c r="J1096" s="1442"/>
      <c r="K1096" s="1442">
        <v>46226</v>
      </c>
      <c r="L1096" s="1442">
        <v>46233</v>
      </c>
      <c r="M1096" s="1442">
        <v>46233</v>
      </c>
      <c r="N1096" t="s">
        <v>973</v>
      </c>
      <c r="O1096" s="1442">
        <v>46244</v>
      </c>
      <c r="P1096" s="1442">
        <v>46240</v>
      </c>
    </row>
    <row r="1097" spans="1:16">
      <c r="A1097" t="s">
        <v>7348</v>
      </c>
      <c r="B1097" t="s">
        <v>64</v>
      </c>
      <c r="C1097" t="s">
        <v>65</v>
      </c>
      <c r="E1097" t="s">
        <v>7349</v>
      </c>
      <c r="F1097" t="s">
        <v>7351</v>
      </c>
      <c r="G1097">
        <v>150</v>
      </c>
      <c r="H1097" t="s">
        <v>75</v>
      </c>
      <c r="I1097" t="s">
        <v>7341</v>
      </c>
      <c r="J1097" s="1442"/>
      <c r="K1097" s="1442">
        <v>46226</v>
      </c>
      <c r="L1097" s="1442">
        <v>46233</v>
      </c>
      <c r="M1097" s="1442">
        <v>46233</v>
      </c>
      <c r="N1097" t="s">
        <v>973</v>
      </c>
      <c r="O1097" s="1442">
        <v>46244</v>
      </c>
      <c r="P1097" s="1442">
        <v>46240</v>
      </c>
    </row>
    <row r="1098" spans="1:16">
      <c r="A1098" t="s">
        <v>7345</v>
      </c>
      <c r="B1098" t="s">
        <v>64</v>
      </c>
      <c r="C1098" t="s">
        <v>65</v>
      </c>
      <c r="E1098" t="s">
        <v>7070</v>
      </c>
      <c r="F1098" t="s">
        <v>7072</v>
      </c>
      <c r="G1098">
        <v>165</v>
      </c>
      <c r="H1098" t="s">
        <v>75</v>
      </c>
      <c r="I1098" t="s">
        <v>7341</v>
      </c>
      <c r="J1098" s="1442"/>
      <c r="K1098" s="1442">
        <v>46226</v>
      </c>
      <c r="L1098" s="1442">
        <v>46233</v>
      </c>
      <c r="M1098" s="1442">
        <v>46233</v>
      </c>
      <c r="N1098" t="s">
        <v>973</v>
      </c>
      <c r="O1098" s="1442">
        <v>46244</v>
      </c>
      <c r="P1098" s="1442">
        <v>46240</v>
      </c>
    </row>
    <row r="1099" spans="1:16">
      <c r="A1099" t="s">
        <v>7337</v>
      </c>
      <c r="B1099" t="s">
        <v>64</v>
      </c>
      <c r="C1099" t="s">
        <v>65</v>
      </c>
      <c r="E1099" t="s">
        <v>7105</v>
      </c>
      <c r="F1099" t="s">
        <v>7107</v>
      </c>
      <c r="G1099">
        <v>244</v>
      </c>
      <c r="H1099" t="s">
        <v>75</v>
      </c>
      <c r="I1099" t="s">
        <v>7334</v>
      </c>
      <c r="J1099" s="1442"/>
      <c r="K1099" s="1442">
        <v>46235</v>
      </c>
      <c r="L1099" s="1442">
        <v>46235</v>
      </c>
      <c r="M1099" s="1442">
        <v>46235</v>
      </c>
      <c r="N1099" t="s">
        <v>973</v>
      </c>
      <c r="O1099" s="1442">
        <v>46244</v>
      </c>
      <c r="P1099" s="1442">
        <v>46242</v>
      </c>
    </row>
    <row r="1100" spans="1:16">
      <c r="A1100" t="s">
        <v>7333</v>
      </c>
      <c r="B1100" t="s">
        <v>64</v>
      </c>
      <c r="C1100" t="s">
        <v>65</v>
      </c>
      <c r="E1100" t="s">
        <v>7105</v>
      </c>
      <c r="F1100" t="s">
        <v>7107</v>
      </c>
      <c r="G1100">
        <v>276</v>
      </c>
      <c r="H1100" t="s">
        <v>75</v>
      </c>
      <c r="I1100" t="s">
        <v>7334</v>
      </c>
      <c r="J1100" s="1442"/>
      <c r="K1100" s="1442">
        <v>46235</v>
      </c>
      <c r="L1100" s="1442">
        <v>46235</v>
      </c>
      <c r="M1100" s="1442">
        <v>46235</v>
      </c>
      <c r="N1100" t="s">
        <v>973</v>
      </c>
      <c r="O1100" s="1442">
        <v>46244</v>
      </c>
      <c r="P1100" s="1442">
        <v>46242</v>
      </c>
    </row>
    <row r="1101" spans="1:16">
      <c r="A1101" t="s">
        <v>7338</v>
      </c>
      <c r="B1101" t="s">
        <v>64</v>
      </c>
      <c r="C1101" t="s">
        <v>65</v>
      </c>
      <c r="E1101" t="s">
        <v>7105</v>
      </c>
      <c r="F1101" t="s">
        <v>7107</v>
      </c>
      <c r="G1101">
        <v>32</v>
      </c>
      <c r="H1101" t="s">
        <v>75</v>
      </c>
      <c r="I1101" t="s">
        <v>7334</v>
      </c>
      <c r="J1101" s="1442"/>
      <c r="K1101" s="1442">
        <v>46235</v>
      </c>
      <c r="L1101" s="1442">
        <v>46235</v>
      </c>
      <c r="M1101" s="1442">
        <v>46235</v>
      </c>
      <c r="N1101" t="s">
        <v>973</v>
      </c>
      <c r="O1101" s="1442">
        <v>46244</v>
      </c>
      <c r="P1101" s="1442">
        <v>46242</v>
      </c>
    </row>
    <row r="1102" spans="1:16">
      <c r="A1102" t="s">
        <v>7329</v>
      </c>
      <c r="B1102" t="s">
        <v>64</v>
      </c>
      <c r="C1102" t="s">
        <v>65</v>
      </c>
      <c r="E1102" t="s">
        <v>7105</v>
      </c>
      <c r="F1102" t="s">
        <v>7107</v>
      </c>
      <c r="G1102">
        <v>276</v>
      </c>
      <c r="H1102" t="s">
        <v>75</v>
      </c>
      <c r="I1102" t="s">
        <v>7330</v>
      </c>
      <c r="J1102" s="1442"/>
      <c r="K1102" s="1442">
        <v>46241</v>
      </c>
      <c r="L1102" s="1442">
        <v>46235</v>
      </c>
      <c r="M1102" s="1442">
        <v>46235</v>
      </c>
      <c r="N1102" t="s">
        <v>973</v>
      </c>
      <c r="O1102" s="1442">
        <v>46247</v>
      </c>
      <c r="P1102" s="1442">
        <v>46245</v>
      </c>
    </row>
    <row r="1103" spans="1:16">
      <c r="A1103" t="s">
        <v>7324</v>
      </c>
      <c r="B1103" t="s">
        <v>64</v>
      </c>
      <c r="C1103" t="s">
        <v>65</v>
      </c>
      <c r="E1103" t="s">
        <v>7105</v>
      </c>
      <c r="F1103" t="s">
        <v>7107</v>
      </c>
      <c r="G1103">
        <v>276</v>
      </c>
      <c r="H1103" t="s">
        <v>75</v>
      </c>
      <c r="I1103" t="s">
        <v>7326</v>
      </c>
      <c r="J1103" s="1442"/>
      <c r="K1103" s="1442">
        <v>46228</v>
      </c>
      <c r="L1103" s="1442">
        <v>46228</v>
      </c>
      <c r="M1103" s="1442">
        <v>46228</v>
      </c>
      <c r="N1103" t="s">
        <v>973</v>
      </c>
      <c r="O1103" s="1442">
        <v>46237</v>
      </c>
      <c r="P1103" s="1442">
        <v>46235</v>
      </c>
    </row>
    <row r="1104" spans="1:16">
      <c r="A1104" t="s">
        <v>7323</v>
      </c>
      <c r="B1104" t="s">
        <v>64</v>
      </c>
      <c r="C1104" t="s">
        <v>65</v>
      </c>
      <c r="E1104" t="s">
        <v>7094</v>
      </c>
      <c r="F1104" t="s">
        <v>7096</v>
      </c>
      <c r="G1104">
        <v>16</v>
      </c>
      <c r="H1104" t="s">
        <v>75</v>
      </c>
      <c r="I1104" t="s">
        <v>7316</v>
      </c>
      <c r="J1104" s="1442"/>
      <c r="K1104" s="1442">
        <v>46217</v>
      </c>
      <c r="L1104" s="1442">
        <v>46223</v>
      </c>
      <c r="M1104" s="1442">
        <v>46223</v>
      </c>
      <c r="N1104" t="s">
        <v>973</v>
      </c>
      <c r="O1104" s="1442">
        <v>46230</v>
      </c>
      <c r="P1104" s="1442">
        <v>46230</v>
      </c>
    </row>
    <row r="1105" spans="1:16">
      <c r="A1105" t="s">
        <v>7321</v>
      </c>
      <c r="B1105" t="s">
        <v>64</v>
      </c>
      <c r="C1105" t="s">
        <v>65</v>
      </c>
      <c r="E1105" t="s">
        <v>7091</v>
      </c>
      <c r="F1105" t="s">
        <v>7092</v>
      </c>
      <c r="G1105">
        <v>2</v>
      </c>
      <c r="H1105" t="s">
        <v>75</v>
      </c>
      <c r="I1105" t="s">
        <v>7316</v>
      </c>
      <c r="J1105" s="1442"/>
      <c r="K1105" s="1442">
        <v>46217</v>
      </c>
      <c r="L1105" s="1442">
        <v>46223</v>
      </c>
      <c r="M1105" s="1442">
        <v>46223</v>
      </c>
      <c r="N1105" t="s">
        <v>973</v>
      </c>
      <c r="O1105" s="1442">
        <v>46230</v>
      </c>
      <c r="P1105" s="1442">
        <v>46230</v>
      </c>
    </row>
    <row r="1106" spans="1:16">
      <c r="A1106" t="s">
        <v>7320</v>
      </c>
      <c r="B1106" t="s">
        <v>64</v>
      </c>
      <c r="C1106" t="s">
        <v>65</v>
      </c>
      <c r="E1106" t="s">
        <v>7091</v>
      </c>
      <c r="F1106" t="s">
        <v>7092</v>
      </c>
      <c r="G1106">
        <v>48</v>
      </c>
      <c r="H1106" t="s">
        <v>75</v>
      </c>
      <c r="I1106" t="s">
        <v>7316</v>
      </c>
      <c r="J1106" s="1442"/>
      <c r="K1106" s="1442">
        <v>46217</v>
      </c>
      <c r="L1106" s="1442">
        <v>46223</v>
      </c>
      <c r="M1106" s="1442">
        <v>46223</v>
      </c>
      <c r="N1106" t="s">
        <v>973</v>
      </c>
      <c r="O1106" s="1442">
        <v>46230</v>
      </c>
      <c r="P1106" s="1442">
        <v>46230</v>
      </c>
    </row>
    <row r="1107" spans="1:16">
      <c r="A1107" t="s">
        <v>7319</v>
      </c>
      <c r="B1107" t="s">
        <v>64</v>
      </c>
      <c r="C1107" t="s">
        <v>65</v>
      </c>
      <c r="E1107" t="s">
        <v>7082</v>
      </c>
      <c r="F1107" t="s">
        <v>7084</v>
      </c>
      <c r="G1107">
        <v>14</v>
      </c>
      <c r="H1107" t="s">
        <v>75</v>
      </c>
      <c r="I1107" t="s">
        <v>7316</v>
      </c>
      <c r="J1107" s="1442"/>
      <c r="K1107" s="1442">
        <v>46217</v>
      </c>
      <c r="L1107" s="1442">
        <v>46223</v>
      </c>
      <c r="M1107" s="1442">
        <v>46223</v>
      </c>
      <c r="N1107" t="s">
        <v>973</v>
      </c>
      <c r="O1107" s="1442">
        <v>46230</v>
      </c>
      <c r="P1107" s="1442">
        <v>46230</v>
      </c>
    </row>
    <row r="1108" spans="1:16">
      <c r="A1108" t="s">
        <v>7315</v>
      </c>
      <c r="B1108" t="s">
        <v>64</v>
      </c>
      <c r="C1108" t="s">
        <v>65</v>
      </c>
      <c r="E1108" t="s">
        <v>7082</v>
      </c>
      <c r="F1108" t="s">
        <v>7084</v>
      </c>
      <c r="G1108">
        <v>160</v>
      </c>
      <c r="H1108" t="s">
        <v>75</v>
      </c>
      <c r="I1108" t="s">
        <v>7316</v>
      </c>
      <c r="J1108" s="1442"/>
      <c r="K1108" s="1442">
        <v>46217</v>
      </c>
      <c r="L1108" s="1442">
        <v>46223</v>
      </c>
      <c r="M1108" s="1442">
        <v>46223</v>
      </c>
      <c r="N1108" t="s">
        <v>973</v>
      </c>
      <c r="O1108" s="1442">
        <v>46230</v>
      </c>
      <c r="P1108" s="1442">
        <v>46230</v>
      </c>
    </row>
    <row r="1109" spans="1:16">
      <c r="A1109" t="s">
        <v>7322</v>
      </c>
      <c r="B1109" t="s">
        <v>64</v>
      </c>
      <c r="C1109" t="s">
        <v>65</v>
      </c>
      <c r="E1109" t="s">
        <v>7094</v>
      </c>
      <c r="F1109" t="s">
        <v>7096</v>
      </c>
      <c r="G1109">
        <v>334</v>
      </c>
      <c r="H1109" t="s">
        <v>75</v>
      </c>
      <c r="I1109" t="s">
        <v>7316</v>
      </c>
      <c r="J1109" s="1442"/>
      <c r="K1109" s="1442">
        <v>46217</v>
      </c>
      <c r="L1109" s="1442">
        <v>46223</v>
      </c>
      <c r="M1109" s="1442">
        <v>46223</v>
      </c>
      <c r="N1109" t="s">
        <v>973</v>
      </c>
      <c r="O1109" s="1442">
        <v>46230</v>
      </c>
      <c r="P1109" s="1442">
        <v>46230</v>
      </c>
    </row>
    <row r="1110" spans="1:16">
      <c r="A1110" t="s">
        <v>7373</v>
      </c>
      <c r="B1110" t="s">
        <v>64</v>
      </c>
      <c r="C1110" t="s">
        <v>65</v>
      </c>
      <c r="E1110" t="s">
        <v>7355</v>
      </c>
      <c r="F1110" t="s">
        <v>7356</v>
      </c>
      <c r="G1110">
        <v>4</v>
      </c>
      <c r="H1110" t="s">
        <v>75</v>
      </c>
      <c r="I1110" t="s">
        <v>7366</v>
      </c>
      <c r="J1110" s="1442"/>
      <c r="K1110" s="1442">
        <v>46249</v>
      </c>
      <c r="L1110" s="1442">
        <v>46249</v>
      </c>
      <c r="M1110" s="1442">
        <v>46249</v>
      </c>
      <c r="N1110" t="s">
        <v>973</v>
      </c>
      <c r="O1110" s="1442">
        <v>46255</v>
      </c>
      <c r="P1110" s="1442">
        <v>46256</v>
      </c>
    </row>
    <row r="1111" spans="1:16">
      <c r="A1111" t="s">
        <v>7376</v>
      </c>
      <c r="B1111" t="s">
        <v>64</v>
      </c>
      <c r="C1111" t="s">
        <v>65</v>
      </c>
      <c r="E1111" t="s">
        <v>7105</v>
      </c>
      <c r="F1111" t="s">
        <v>7107</v>
      </c>
      <c r="G1111">
        <v>12</v>
      </c>
      <c r="H1111" t="s">
        <v>75</v>
      </c>
      <c r="I1111" t="s">
        <v>7366</v>
      </c>
      <c r="J1111" s="1442"/>
      <c r="K1111" s="1442">
        <v>46249</v>
      </c>
      <c r="L1111" s="1442">
        <v>46249</v>
      </c>
      <c r="M1111" s="1442">
        <v>46249</v>
      </c>
      <c r="N1111" t="s">
        <v>973</v>
      </c>
      <c r="O1111" s="1442">
        <v>46255</v>
      </c>
      <c r="P1111" s="1442">
        <v>46256</v>
      </c>
    </row>
    <row r="1112" spans="1:16">
      <c r="A1112" t="s">
        <v>7375</v>
      </c>
      <c r="B1112" t="s">
        <v>64</v>
      </c>
      <c r="C1112" t="s">
        <v>65</v>
      </c>
      <c r="E1112" t="s">
        <v>7105</v>
      </c>
      <c r="F1112" t="s">
        <v>7107</v>
      </c>
      <c r="G1112">
        <v>108</v>
      </c>
      <c r="H1112" t="s">
        <v>75</v>
      </c>
      <c r="I1112" t="s">
        <v>7366</v>
      </c>
      <c r="J1112" s="1442"/>
      <c r="K1112" s="1442">
        <v>46249</v>
      </c>
      <c r="L1112" s="1442">
        <v>46249</v>
      </c>
      <c r="M1112" s="1442">
        <v>46249</v>
      </c>
      <c r="N1112" t="s">
        <v>973</v>
      </c>
      <c r="O1112" s="1442">
        <v>46255</v>
      </c>
      <c r="P1112" s="1442">
        <v>46256</v>
      </c>
    </row>
    <row r="1113" spans="1:16">
      <c r="A1113" t="s">
        <v>7374</v>
      </c>
      <c r="B1113" t="s">
        <v>64</v>
      </c>
      <c r="C1113" t="s">
        <v>65</v>
      </c>
      <c r="E1113" t="s">
        <v>7355</v>
      </c>
      <c r="F1113" t="s">
        <v>7356</v>
      </c>
      <c r="G1113">
        <v>2</v>
      </c>
      <c r="H1113" t="s">
        <v>75</v>
      </c>
      <c r="I1113" t="s">
        <v>7366</v>
      </c>
      <c r="J1113" s="1442"/>
      <c r="K1113" s="1442">
        <v>46249</v>
      </c>
      <c r="L1113" s="1442">
        <v>46249</v>
      </c>
      <c r="M1113" s="1442">
        <v>46249</v>
      </c>
      <c r="N1113" t="s">
        <v>973</v>
      </c>
      <c r="O1113" s="1442">
        <v>46255</v>
      </c>
      <c r="P1113" s="1442">
        <v>46256</v>
      </c>
    </row>
    <row r="1114" spans="1:16">
      <c r="A1114" t="s">
        <v>7372</v>
      </c>
      <c r="B1114" t="s">
        <v>64</v>
      </c>
      <c r="C1114" t="s">
        <v>65</v>
      </c>
      <c r="E1114" t="s">
        <v>7370</v>
      </c>
      <c r="F1114" t="s">
        <v>7371</v>
      </c>
      <c r="G1114">
        <v>4</v>
      </c>
      <c r="H1114" t="s">
        <v>75</v>
      </c>
      <c r="I1114" t="s">
        <v>7366</v>
      </c>
      <c r="J1114" s="1442"/>
      <c r="K1114" s="1442">
        <v>46249</v>
      </c>
      <c r="L1114" s="1442">
        <v>46249</v>
      </c>
      <c r="M1114" s="1442">
        <v>46249</v>
      </c>
      <c r="N1114" t="s">
        <v>973</v>
      </c>
      <c r="O1114" s="1442">
        <v>46255</v>
      </c>
      <c r="P1114" s="1442">
        <v>46256</v>
      </c>
    </row>
    <row r="1115" spans="1:16">
      <c r="A1115" t="s">
        <v>7369</v>
      </c>
      <c r="B1115" t="s">
        <v>64</v>
      </c>
      <c r="C1115" t="s">
        <v>65</v>
      </c>
      <c r="E1115" t="s">
        <v>7370</v>
      </c>
      <c r="F1115" t="s">
        <v>7371</v>
      </c>
      <c r="G1115">
        <v>128</v>
      </c>
      <c r="H1115" t="s">
        <v>75</v>
      </c>
      <c r="I1115" t="s">
        <v>7366</v>
      </c>
      <c r="J1115" s="1442"/>
      <c r="K1115" s="1442">
        <v>46249</v>
      </c>
      <c r="L1115" s="1442">
        <v>46249</v>
      </c>
      <c r="M1115" s="1442">
        <v>46249</v>
      </c>
      <c r="N1115" t="s">
        <v>973</v>
      </c>
      <c r="O1115" s="1442">
        <v>46255</v>
      </c>
      <c r="P1115" s="1442">
        <v>46256</v>
      </c>
    </row>
    <row r="1116" spans="1:16">
      <c r="A1116" t="s">
        <v>7365</v>
      </c>
      <c r="B1116" t="s">
        <v>64</v>
      </c>
      <c r="C1116" t="s">
        <v>65</v>
      </c>
      <c r="E1116" t="s">
        <v>7105</v>
      </c>
      <c r="F1116" t="s">
        <v>7107</v>
      </c>
      <c r="G1116">
        <v>276</v>
      </c>
      <c r="H1116" t="s">
        <v>75</v>
      </c>
      <c r="I1116" t="s">
        <v>7366</v>
      </c>
      <c r="J1116" s="1442"/>
      <c r="K1116" s="1442">
        <v>46249</v>
      </c>
      <c r="L1116" s="1442">
        <v>46249</v>
      </c>
      <c r="M1116" s="1442">
        <v>46249</v>
      </c>
      <c r="N1116" t="s">
        <v>973</v>
      </c>
      <c r="O1116" s="1442">
        <v>46255</v>
      </c>
      <c r="P1116" s="1442">
        <v>46256</v>
      </c>
    </row>
    <row r="1117" spans="1:16">
      <c r="A1117" t="s">
        <v>7364</v>
      </c>
      <c r="B1117" t="s">
        <v>64</v>
      </c>
      <c r="C1117" t="s">
        <v>65</v>
      </c>
      <c r="E1117" t="s">
        <v>7362</v>
      </c>
      <c r="F1117" t="s">
        <v>7363</v>
      </c>
      <c r="G1117">
        <v>6</v>
      </c>
      <c r="H1117" t="s">
        <v>75</v>
      </c>
      <c r="I1117" t="s">
        <v>7357</v>
      </c>
      <c r="J1117" s="1442"/>
      <c r="K1117" s="1442">
        <v>46232</v>
      </c>
      <c r="L1117" s="1442">
        <v>46238</v>
      </c>
      <c r="M1117" s="1442">
        <v>46240</v>
      </c>
      <c r="N1117" t="s">
        <v>973</v>
      </c>
      <c r="O1117" s="1442">
        <v>46248</v>
      </c>
      <c r="P1117" s="1442">
        <v>46247</v>
      </c>
    </row>
    <row r="1118" spans="1:16">
      <c r="A1118" t="s">
        <v>7361</v>
      </c>
      <c r="B1118" t="s">
        <v>64</v>
      </c>
      <c r="C1118" t="s">
        <v>65</v>
      </c>
      <c r="E1118" t="s">
        <v>7362</v>
      </c>
      <c r="F1118" t="s">
        <v>7363</v>
      </c>
      <c r="G1118">
        <v>192</v>
      </c>
      <c r="H1118" t="s">
        <v>75</v>
      </c>
      <c r="I1118" t="s">
        <v>7357</v>
      </c>
      <c r="J1118" s="1442"/>
      <c r="K1118" s="1442">
        <v>46232</v>
      </c>
      <c r="L1118" s="1442">
        <v>46238</v>
      </c>
      <c r="M1118" s="1442">
        <v>46240</v>
      </c>
      <c r="N1118" t="s">
        <v>973</v>
      </c>
      <c r="O1118" s="1442">
        <v>46248</v>
      </c>
      <c r="P1118" s="1442">
        <v>46247</v>
      </c>
    </row>
    <row r="1119" spans="1:16">
      <c r="A1119" t="s">
        <v>7354</v>
      </c>
      <c r="B1119" t="s">
        <v>64</v>
      </c>
      <c r="C1119" t="s">
        <v>65</v>
      </c>
      <c r="E1119" t="s">
        <v>7355</v>
      </c>
      <c r="F1119" t="s">
        <v>7356</v>
      </c>
      <c r="G1119">
        <v>60</v>
      </c>
      <c r="H1119" t="s">
        <v>75</v>
      </c>
      <c r="I1119" t="s">
        <v>7357</v>
      </c>
      <c r="J1119" s="1442"/>
      <c r="K1119" s="1442">
        <v>46232</v>
      </c>
      <c r="L1119" s="1442">
        <v>46238</v>
      </c>
      <c r="M1119" s="1442">
        <v>46240</v>
      </c>
      <c r="N1119" t="s">
        <v>973</v>
      </c>
      <c r="O1119" s="1442">
        <v>46248</v>
      </c>
      <c r="P1119" s="1442">
        <v>46247</v>
      </c>
    </row>
    <row r="1120" spans="1:16">
      <c r="A1120" t="s">
        <v>10241</v>
      </c>
      <c r="B1120" t="s">
        <v>64</v>
      </c>
      <c r="C1120" t="s">
        <v>65</v>
      </c>
      <c r="E1120" t="s">
        <v>7082</v>
      </c>
      <c r="F1120" t="s">
        <v>7084</v>
      </c>
      <c r="G1120">
        <v>14</v>
      </c>
      <c r="H1120" t="s">
        <v>75</v>
      </c>
      <c r="I1120" t="s">
        <v>7394</v>
      </c>
      <c r="J1120" s="1442"/>
      <c r="K1120" s="1442">
        <v>46260</v>
      </c>
      <c r="L1120" s="1442">
        <v>46272</v>
      </c>
      <c r="M1120" s="1442">
        <v>46272</v>
      </c>
      <c r="N1120" t="s">
        <v>2434</v>
      </c>
      <c r="O1120" s="1442">
        <v>46279</v>
      </c>
      <c r="P1120" s="1442">
        <v>46280</v>
      </c>
    </row>
    <row r="1121" spans="1:16">
      <c r="A1121" t="s">
        <v>7404</v>
      </c>
      <c r="B1121" t="s">
        <v>64</v>
      </c>
      <c r="C1121" t="s">
        <v>65</v>
      </c>
      <c r="E1121" t="s">
        <v>7082</v>
      </c>
      <c r="F1121" t="s">
        <v>7084</v>
      </c>
      <c r="G1121">
        <v>198</v>
      </c>
      <c r="H1121" t="s">
        <v>75</v>
      </c>
      <c r="I1121" t="s">
        <v>7394</v>
      </c>
      <c r="J1121" s="1442"/>
      <c r="K1121" s="1442">
        <v>46260</v>
      </c>
      <c r="L1121" s="1442">
        <v>46272</v>
      </c>
      <c r="M1121" s="1442">
        <v>46272</v>
      </c>
      <c r="N1121" t="s">
        <v>2434</v>
      </c>
      <c r="O1121" s="1442">
        <v>46279</v>
      </c>
      <c r="P1121" s="1442">
        <v>46280</v>
      </c>
    </row>
    <row r="1122" spans="1:16">
      <c r="A1122" t="s">
        <v>7403</v>
      </c>
      <c r="B1122" t="s">
        <v>64</v>
      </c>
      <c r="C1122" t="s">
        <v>65</v>
      </c>
      <c r="E1122" t="s">
        <v>7070</v>
      </c>
      <c r="F1122" t="s">
        <v>7072</v>
      </c>
      <c r="G1122">
        <v>180</v>
      </c>
      <c r="H1122" t="s">
        <v>75</v>
      </c>
      <c r="I1122" t="s">
        <v>7394</v>
      </c>
      <c r="J1122" s="1442"/>
      <c r="K1122" s="1442">
        <v>46253</v>
      </c>
      <c r="L1122" s="1442">
        <v>46272</v>
      </c>
      <c r="M1122" s="1442">
        <v>46272</v>
      </c>
      <c r="N1122" t="s">
        <v>2434</v>
      </c>
      <c r="O1122" s="1442">
        <v>46279</v>
      </c>
      <c r="P1122" s="1442">
        <v>46280</v>
      </c>
    </row>
    <row r="1123" spans="1:16">
      <c r="A1123" t="s">
        <v>7402</v>
      </c>
      <c r="B1123" t="s">
        <v>64</v>
      </c>
      <c r="C1123" t="s">
        <v>65</v>
      </c>
      <c r="E1123" t="s">
        <v>7094</v>
      </c>
      <c r="F1123" t="s">
        <v>7096</v>
      </c>
      <c r="G1123">
        <v>15</v>
      </c>
      <c r="H1123" t="s">
        <v>75</v>
      </c>
      <c r="I1123" t="s">
        <v>7394</v>
      </c>
      <c r="J1123" s="1442"/>
      <c r="K1123" s="1442">
        <v>46253</v>
      </c>
      <c r="L1123" s="1442">
        <v>46272</v>
      </c>
      <c r="M1123" s="1442">
        <v>46272</v>
      </c>
      <c r="N1123" t="s">
        <v>2434</v>
      </c>
      <c r="O1123" s="1442">
        <v>46279</v>
      </c>
      <c r="P1123" s="1442">
        <v>46280</v>
      </c>
    </row>
    <row r="1124" spans="1:16">
      <c r="A1124" t="s">
        <v>7401</v>
      </c>
      <c r="B1124" t="s">
        <v>64</v>
      </c>
      <c r="C1124" t="s">
        <v>65</v>
      </c>
      <c r="E1124" t="s">
        <v>7094</v>
      </c>
      <c r="F1124" t="s">
        <v>7096</v>
      </c>
      <c r="G1124">
        <v>155</v>
      </c>
      <c r="H1124" t="s">
        <v>75</v>
      </c>
      <c r="I1124" t="s">
        <v>7394</v>
      </c>
      <c r="J1124" s="1442"/>
      <c r="K1124" s="1442">
        <v>46253</v>
      </c>
      <c r="L1124" s="1442">
        <v>46272</v>
      </c>
      <c r="M1124" s="1442">
        <v>46272</v>
      </c>
      <c r="N1124" t="s">
        <v>2434</v>
      </c>
      <c r="O1124" s="1442">
        <v>46279</v>
      </c>
      <c r="P1124" s="1442">
        <v>46280</v>
      </c>
    </row>
    <row r="1125" spans="1:16">
      <c r="A1125" t="s">
        <v>7399</v>
      </c>
      <c r="B1125" t="s">
        <v>64</v>
      </c>
      <c r="C1125" t="s">
        <v>65</v>
      </c>
      <c r="E1125" t="s">
        <v>7091</v>
      </c>
      <c r="F1125" t="s">
        <v>7092</v>
      </c>
      <c r="G1125">
        <v>45</v>
      </c>
      <c r="H1125" t="s">
        <v>75</v>
      </c>
      <c r="I1125" t="s">
        <v>7394</v>
      </c>
      <c r="J1125" s="1442"/>
      <c r="K1125" s="1442">
        <v>46253</v>
      </c>
      <c r="L1125" s="1442">
        <v>46272</v>
      </c>
      <c r="M1125" s="1442">
        <v>46272</v>
      </c>
      <c r="N1125" t="s">
        <v>2434</v>
      </c>
      <c r="O1125" s="1442">
        <v>46279</v>
      </c>
      <c r="P1125" s="1442">
        <v>46280</v>
      </c>
    </row>
    <row r="1126" spans="1:16">
      <c r="A1126" t="s">
        <v>7408</v>
      </c>
      <c r="B1126" t="s">
        <v>64</v>
      </c>
      <c r="C1126" t="s">
        <v>65</v>
      </c>
      <c r="E1126" t="s">
        <v>7091</v>
      </c>
      <c r="F1126" t="s">
        <v>7092</v>
      </c>
      <c r="G1126">
        <v>12</v>
      </c>
      <c r="H1126" t="s">
        <v>75</v>
      </c>
      <c r="I1126" t="s">
        <v>7394</v>
      </c>
      <c r="J1126" s="1442"/>
      <c r="K1126" s="1442">
        <v>46260</v>
      </c>
      <c r="L1126" s="1442">
        <v>46272</v>
      </c>
      <c r="M1126" s="1442">
        <v>46272</v>
      </c>
      <c r="N1126" t="s">
        <v>2434</v>
      </c>
      <c r="O1126" s="1442">
        <v>46279</v>
      </c>
      <c r="P1126" s="1442">
        <v>46280</v>
      </c>
    </row>
    <row r="1127" spans="1:16">
      <c r="A1127" t="s">
        <v>7398</v>
      </c>
      <c r="B1127" t="s">
        <v>64</v>
      </c>
      <c r="C1127" t="s">
        <v>65</v>
      </c>
      <c r="E1127" t="s">
        <v>7116</v>
      </c>
      <c r="F1127" t="s">
        <v>7117</v>
      </c>
      <c r="G1127">
        <v>1</v>
      </c>
      <c r="H1127" t="s">
        <v>75</v>
      </c>
      <c r="I1127" t="s">
        <v>7394</v>
      </c>
      <c r="J1127" s="1442"/>
      <c r="K1127" s="1442">
        <v>46253</v>
      </c>
      <c r="L1127" s="1442">
        <v>46272</v>
      </c>
      <c r="M1127" s="1442">
        <v>46272</v>
      </c>
      <c r="N1127" t="s">
        <v>2434</v>
      </c>
      <c r="O1127" s="1442">
        <v>46279</v>
      </c>
      <c r="P1127" s="1442">
        <v>46280</v>
      </c>
    </row>
    <row r="1128" spans="1:16">
      <c r="A1128" t="s">
        <v>7393</v>
      </c>
      <c r="B1128" t="s">
        <v>64</v>
      </c>
      <c r="C1128" t="s">
        <v>65</v>
      </c>
      <c r="E1128" t="s">
        <v>7116</v>
      </c>
      <c r="F1128" t="s">
        <v>7117</v>
      </c>
      <c r="G1128">
        <v>24</v>
      </c>
      <c r="H1128" t="s">
        <v>75</v>
      </c>
      <c r="I1128" t="s">
        <v>7394</v>
      </c>
      <c r="J1128" s="1442"/>
      <c r="K1128" s="1442">
        <v>46253</v>
      </c>
      <c r="L1128" s="1442">
        <v>46272</v>
      </c>
      <c r="M1128" s="1442">
        <v>46272</v>
      </c>
      <c r="N1128" t="s">
        <v>2434</v>
      </c>
      <c r="O1128" s="1442">
        <v>46279</v>
      </c>
      <c r="P1128" s="1442">
        <v>46280</v>
      </c>
    </row>
    <row r="1129" spans="1:16">
      <c r="A1129" t="s">
        <v>7400</v>
      </c>
      <c r="B1129" t="s">
        <v>64</v>
      </c>
      <c r="C1129" t="s">
        <v>65</v>
      </c>
      <c r="E1129" t="s">
        <v>7091</v>
      </c>
      <c r="F1129" t="s">
        <v>7092</v>
      </c>
      <c r="G1129">
        <v>2</v>
      </c>
      <c r="H1129" t="s">
        <v>75</v>
      </c>
      <c r="I1129" t="s">
        <v>7394</v>
      </c>
      <c r="J1129" s="1442"/>
      <c r="K1129" s="1442">
        <v>46253</v>
      </c>
      <c r="L1129" s="1442">
        <v>46272</v>
      </c>
      <c r="M1129" s="1442">
        <v>46272</v>
      </c>
      <c r="N1129" t="s">
        <v>2434</v>
      </c>
      <c r="O1129" s="1442">
        <v>46279</v>
      </c>
      <c r="P1129" s="1442">
        <v>46280</v>
      </c>
    </row>
    <row r="1130" spans="1:16">
      <c r="A1130" t="s">
        <v>7416</v>
      </c>
      <c r="B1130" t="s">
        <v>64</v>
      </c>
      <c r="C1130" t="s">
        <v>65</v>
      </c>
      <c r="E1130" t="s">
        <v>7094</v>
      </c>
      <c r="F1130" t="s">
        <v>7096</v>
      </c>
      <c r="G1130">
        <v>349</v>
      </c>
      <c r="H1130" t="s">
        <v>951</v>
      </c>
      <c r="I1130" t="s">
        <v>7417</v>
      </c>
      <c r="J1130" s="1442"/>
      <c r="K1130" s="1442">
        <v>46265</v>
      </c>
      <c r="L1130" s="1442">
        <v>46277</v>
      </c>
      <c r="M1130" s="1442"/>
      <c r="N1130" t="s">
        <v>2434</v>
      </c>
      <c r="O1130" s="1442">
        <v>46283</v>
      </c>
      <c r="P1130" s="1442">
        <v>46285</v>
      </c>
    </row>
    <row r="1131" spans="1:16">
      <c r="A1131" t="s">
        <v>7420</v>
      </c>
      <c r="B1131" t="s">
        <v>64</v>
      </c>
      <c r="C1131" t="s">
        <v>65</v>
      </c>
      <c r="E1131" t="s">
        <v>7094</v>
      </c>
      <c r="F1131" t="s">
        <v>7096</v>
      </c>
      <c r="G1131">
        <v>1</v>
      </c>
      <c r="H1131" t="s">
        <v>951</v>
      </c>
      <c r="I1131" t="s">
        <v>7417</v>
      </c>
      <c r="J1131" s="1442"/>
      <c r="K1131" s="1442">
        <v>46265</v>
      </c>
      <c r="L1131" s="1442">
        <v>46277</v>
      </c>
      <c r="M1131" s="1442"/>
      <c r="N1131" t="s">
        <v>2434</v>
      </c>
      <c r="O1131" s="1442">
        <v>46283</v>
      </c>
      <c r="P1131" s="1442">
        <v>46285</v>
      </c>
    </row>
    <row r="1132" spans="1:16">
      <c r="A1132" t="s">
        <v>7415</v>
      </c>
      <c r="B1132" t="s">
        <v>64</v>
      </c>
      <c r="C1132" t="s">
        <v>65</v>
      </c>
      <c r="E1132" t="s">
        <v>7105</v>
      </c>
      <c r="F1132" t="s">
        <v>7107</v>
      </c>
      <c r="G1132">
        <v>2</v>
      </c>
      <c r="H1132" t="s">
        <v>951</v>
      </c>
      <c r="I1132" t="s">
        <v>7411</v>
      </c>
      <c r="J1132" s="1442"/>
      <c r="K1132" s="1442">
        <v>46260</v>
      </c>
      <c r="L1132" s="1442">
        <v>46281</v>
      </c>
      <c r="M1132" s="1442"/>
      <c r="N1132" t="s">
        <v>2434</v>
      </c>
      <c r="O1132" s="1442">
        <v>46288</v>
      </c>
      <c r="P1132" s="1442">
        <v>46289</v>
      </c>
    </row>
    <row r="1133" spans="1:16">
      <c r="A1133" t="s">
        <v>7409</v>
      </c>
      <c r="B1133" t="s">
        <v>64</v>
      </c>
      <c r="C1133" t="s">
        <v>65</v>
      </c>
      <c r="E1133" t="s">
        <v>7105</v>
      </c>
      <c r="F1133" t="s">
        <v>7107</v>
      </c>
      <c r="G1133">
        <v>470</v>
      </c>
      <c r="H1133" t="s">
        <v>951</v>
      </c>
      <c r="I1133" t="s">
        <v>7411</v>
      </c>
      <c r="J1133" s="1442"/>
      <c r="K1133" s="1442">
        <v>46260</v>
      </c>
      <c r="L1133" s="1442">
        <v>46281</v>
      </c>
      <c r="M1133" s="1442"/>
      <c r="N1133" t="s">
        <v>2434</v>
      </c>
      <c r="O1133" s="1442">
        <v>46288</v>
      </c>
      <c r="P1133" s="1442">
        <v>46289</v>
      </c>
    </row>
    <row r="1134" spans="1:16">
      <c r="A1134" t="s">
        <v>7414</v>
      </c>
      <c r="B1134" t="s">
        <v>64</v>
      </c>
      <c r="C1134" t="s">
        <v>65</v>
      </c>
      <c r="E1134" t="s">
        <v>7105</v>
      </c>
      <c r="F1134" t="s">
        <v>7107</v>
      </c>
      <c r="G1134">
        <v>80</v>
      </c>
      <c r="H1134" t="s">
        <v>951</v>
      </c>
      <c r="I1134" t="s">
        <v>7411</v>
      </c>
      <c r="J1134" s="1442"/>
      <c r="K1134" s="1442">
        <v>46260</v>
      </c>
      <c r="L1134" s="1442">
        <v>46281</v>
      </c>
      <c r="M1134" s="1442"/>
      <c r="N1134" t="s">
        <v>2434</v>
      </c>
      <c r="O1134" s="1442">
        <v>46288</v>
      </c>
      <c r="P1134" s="1442">
        <v>46289</v>
      </c>
    </row>
    <row r="1135" spans="1:16">
      <c r="A1135" t="s">
        <v>7392</v>
      </c>
      <c r="B1135" t="s">
        <v>64</v>
      </c>
      <c r="C1135" t="s">
        <v>65</v>
      </c>
      <c r="E1135" t="s">
        <v>7105</v>
      </c>
      <c r="F1135" t="s">
        <v>7107</v>
      </c>
      <c r="G1135">
        <v>49</v>
      </c>
      <c r="H1135" t="s">
        <v>75</v>
      </c>
      <c r="I1135" t="s">
        <v>7389</v>
      </c>
      <c r="J1135" s="1442"/>
      <c r="K1135" s="1442">
        <v>46260</v>
      </c>
      <c r="L1135" s="1442">
        <v>46260</v>
      </c>
      <c r="M1135" s="1442">
        <v>46253</v>
      </c>
      <c r="N1135" t="s">
        <v>973</v>
      </c>
      <c r="O1135" s="1442">
        <v>46268</v>
      </c>
      <c r="P1135" s="1442">
        <v>46261</v>
      </c>
    </row>
    <row r="1136" spans="1:16">
      <c r="A1136" t="s">
        <v>7387</v>
      </c>
      <c r="B1136" t="s">
        <v>64</v>
      </c>
      <c r="C1136" t="s">
        <v>65</v>
      </c>
      <c r="E1136" t="s">
        <v>7105</v>
      </c>
      <c r="F1136" t="s">
        <v>7107</v>
      </c>
      <c r="G1136">
        <v>227</v>
      </c>
      <c r="H1136" t="s">
        <v>75</v>
      </c>
      <c r="I1136" t="s">
        <v>7389</v>
      </c>
      <c r="J1136" s="1442"/>
      <c r="K1136" s="1442">
        <v>46260</v>
      </c>
      <c r="L1136" s="1442">
        <v>46260</v>
      </c>
      <c r="M1136" s="1442">
        <v>46253</v>
      </c>
      <c r="N1136" t="s">
        <v>973</v>
      </c>
      <c r="O1136" s="1442">
        <v>46268</v>
      </c>
      <c r="P1136" s="1442">
        <v>46261</v>
      </c>
    </row>
    <row r="1137" spans="1:16">
      <c r="A1137" t="s">
        <v>7421</v>
      </c>
      <c r="B1137" t="s">
        <v>64</v>
      </c>
      <c r="C1137" t="s">
        <v>65</v>
      </c>
      <c r="E1137" t="s">
        <v>7082</v>
      </c>
      <c r="F1137" t="s">
        <v>7084</v>
      </c>
      <c r="G1137">
        <v>224</v>
      </c>
      <c r="H1137" t="s">
        <v>951</v>
      </c>
      <c r="I1137" t="s">
        <v>7422</v>
      </c>
      <c r="J1137" s="1442"/>
      <c r="K1137" s="1442">
        <v>46279</v>
      </c>
      <c r="L1137" s="1442">
        <v>46284</v>
      </c>
      <c r="M1137" s="1442"/>
      <c r="N1137" t="s">
        <v>2434</v>
      </c>
      <c r="O1137" s="1442">
        <v>46290</v>
      </c>
      <c r="P1137" s="1442">
        <v>46292</v>
      </c>
    </row>
    <row r="1138" spans="1:16">
      <c r="A1138" t="s">
        <v>7425</v>
      </c>
      <c r="B1138" t="s">
        <v>64</v>
      </c>
      <c r="C1138" t="s">
        <v>65</v>
      </c>
      <c r="E1138" t="s">
        <v>7105</v>
      </c>
      <c r="F1138" t="s">
        <v>7107</v>
      </c>
      <c r="G1138">
        <v>276</v>
      </c>
      <c r="H1138" t="s">
        <v>75</v>
      </c>
      <c r="I1138" t="s">
        <v>7426</v>
      </c>
      <c r="J1138" s="1442"/>
      <c r="K1138" s="1442">
        <v>46274</v>
      </c>
      <c r="L1138" s="1442">
        <v>46267</v>
      </c>
      <c r="M1138" s="1442">
        <v>46267</v>
      </c>
      <c r="N1138" t="s">
        <v>2434</v>
      </c>
      <c r="O1138" s="1442">
        <v>46275</v>
      </c>
      <c r="P1138" s="1442">
        <v>46275</v>
      </c>
    </row>
    <row r="1139" spans="1:16">
      <c r="A1139" t="s">
        <v>7429</v>
      </c>
      <c r="B1139" t="s">
        <v>64</v>
      </c>
      <c r="C1139" t="s">
        <v>65</v>
      </c>
      <c r="E1139" t="s">
        <v>7105</v>
      </c>
      <c r="F1139" t="s">
        <v>7107</v>
      </c>
      <c r="G1139">
        <v>276</v>
      </c>
      <c r="H1139" t="s">
        <v>951</v>
      </c>
      <c r="I1139" t="s">
        <v>7431</v>
      </c>
      <c r="J1139" s="1442"/>
      <c r="K1139" s="1442">
        <v>46281</v>
      </c>
      <c r="L1139" s="1442">
        <v>46288</v>
      </c>
      <c r="M1139" s="1442"/>
      <c r="N1139" t="s">
        <v>2434</v>
      </c>
      <c r="O1139" s="1442">
        <v>46295</v>
      </c>
      <c r="P1139" s="1442">
        <v>46296</v>
      </c>
    </row>
    <row r="1140" spans="1:16">
      <c r="A1140" t="s">
        <v>7434</v>
      </c>
      <c r="B1140" t="s">
        <v>64</v>
      </c>
      <c r="C1140" t="s">
        <v>65</v>
      </c>
      <c r="E1140" t="s">
        <v>7105</v>
      </c>
      <c r="F1140" t="s">
        <v>7107</v>
      </c>
      <c r="G1140">
        <v>276</v>
      </c>
      <c r="H1140" t="s">
        <v>951</v>
      </c>
      <c r="I1140" t="s">
        <v>7431</v>
      </c>
      <c r="J1140" s="1442"/>
      <c r="K1140" s="1442">
        <v>46281</v>
      </c>
      <c r="L1140" s="1442">
        <v>46288</v>
      </c>
      <c r="M1140" s="1442"/>
      <c r="N1140" t="s">
        <v>2434</v>
      </c>
      <c r="O1140" s="1442">
        <v>46295</v>
      </c>
      <c r="P1140" s="1442">
        <v>46296</v>
      </c>
    </row>
    <row r="1141" spans="1:16">
      <c r="A1141" t="s">
        <v>7450</v>
      </c>
      <c r="B1141" t="s">
        <v>64</v>
      </c>
      <c r="C1141" t="s">
        <v>65</v>
      </c>
      <c r="E1141" t="s">
        <v>7094</v>
      </c>
      <c r="F1141" t="s">
        <v>7096</v>
      </c>
      <c r="G1141">
        <v>19</v>
      </c>
      <c r="H1141" t="s">
        <v>75</v>
      </c>
      <c r="I1141" t="s">
        <v>7439</v>
      </c>
      <c r="J1141" s="1442"/>
      <c r="K1141" s="1442">
        <v>46274</v>
      </c>
      <c r="L1141" s="1442">
        <v>46272</v>
      </c>
      <c r="M1141" s="1442">
        <v>46272</v>
      </c>
      <c r="N1141" t="s">
        <v>2434</v>
      </c>
      <c r="O1141" s="1442">
        <v>46279</v>
      </c>
      <c r="P1141" s="1442">
        <v>46280</v>
      </c>
    </row>
    <row r="1142" spans="1:16">
      <c r="A1142" t="s">
        <v>7437</v>
      </c>
      <c r="B1142" t="s">
        <v>64</v>
      </c>
      <c r="C1142" t="s">
        <v>65</v>
      </c>
      <c r="E1142" t="s">
        <v>7116</v>
      </c>
      <c r="F1142" t="s">
        <v>7117</v>
      </c>
      <c r="G1142">
        <v>29</v>
      </c>
      <c r="H1142" t="s">
        <v>75</v>
      </c>
      <c r="I1142" t="s">
        <v>7439</v>
      </c>
      <c r="J1142" s="1442"/>
      <c r="K1142" s="1442">
        <v>46274</v>
      </c>
      <c r="L1142" s="1442">
        <v>46272</v>
      </c>
      <c r="M1142" s="1442">
        <v>46272</v>
      </c>
      <c r="N1142" t="s">
        <v>2434</v>
      </c>
      <c r="O1142" s="1442">
        <v>46279</v>
      </c>
      <c r="P1142" s="1442">
        <v>46280</v>
      </c>
    </row>
    <row r="1143" spans="1:16">
      <c r="A1143" t="s">
        <v>7442</v>
      </c>
      <c r="B1143" t="s">
        <v>64</v>
      </c>
      <c r="C1143" t="s">
        <v>65</v>
      </c>
      <c r="E1143" t="s">
        <v>7116</v>
      </c>
      <c r="F1143" t="s">
        <v>7117</v>
      </c>
      <c r="G1143">
        <v>1</v>
      </c>
      <c r="H1143" t="s">
        <v>75</v>
      </c>
      <c r="I1143" t="s">
        <v>7439</v>
      </c>
      <c r="J1143" s="1442"/>
      <c r="K1143" s="1442">
        <v>46274</v>
      </c>
      <c r="L1143" s="1442">
        <v>46272</v>
      </c>
      <c r="M1143" s="1442">
        <v>46272</v>
      </c>
      <c r="N1143" t="s">
        <v>2434</v>
      </c>
      <c r="O1143" s="1442">
        <v>46279</v>
      </c>
      <c r="P1143" s="1442">
        <v>46280</v>
      </c>
    </row>
    <row r="1144" spans="1:16">
      <c r="A1144" t="s">
        <v>7443</v>
      </c>
      <c r="B1144" t="s">
        <v>64</v>
      </c>
      <c r="C1144" t="s">
        <v>65</v>
      </c>
      <c r="E1144" t="s">
        <v>7082</v>
      </c>
      <c r="F1144" t="s">
        <v>7084</v>
      </c>
      <c r="G1144">
        <v>88</v>
      </c>
      <c r="H1144" t="s">
        <v>75</v>
      </c>
      <c r="I1144" t="s">
        <v>7439</v>
      </c>
      <c r="J1144" s="1442"/>
      <c r="K1144" s="1442">
        <v>46274</v>
      </c>
      <c r="L1144" s="1442">
        <v>46272</v>
      </c>
      <c r="M1144" s="1442">
        <v>46272</v>
      </c>
      <c r="N1144" t="s">
        <v>2434</v>
      </c>
      <c r="O1144" s="1442">
        <v>46279</v>
      </c>
      <c r="P1144" s="1442">
        <v>46280</v>
      </c>
    </row>
    <row r="1145" spans="1:16">
      <c r="A1145" t="s">
        <v>7444</v>
      </c>
      <c r="B1145" t="s">
        <v>64</v>
      </c>
      <c r="C1145" t="s">
        <v>65</v>
      </c>
      <c r="E1145" t="s">
        <v>7082</v>
      </c>
      <c r="F1145" t="s">
        <v>7084</v>
      </c>
      <c r="G1145">
        <v>16</v>
      </c>
      <c r="H1145" t="s">
        <v>75</v>
      </c>
      <c r="I1145" t="s">
        <v>7439</v>
      </c>
      <c r="J1145" s="1442"/>
      <c r="K1145" s="1442">
        <v>46274</v>
      </c>
      <c r="L1145" s="1442">
        <v>46272</v>
      </c>
      <c r="M1145" s="1442">
        <v>46272</v>
      </c>
      <c r="N1145" t="s">
        <v>2434</v>
      </c>
      <c r="O1145" s="1442">
        <v>46279</v>
      </c>
      <c r="P1145" s="1442">
        <v>46280</v>
      </c>
    </row>
    <row r="1146" spans="1:16">
      <c r="A1146" t="s">
        <v>7446</v>
      </c>
      <c r="B1146" t="s">
        <v>64</v>
      </c>
      <c r="C1146" t="s">
        <v>65</v>
      </c>
      <c r="E1146" t="s">
        <v>7091</v>
      </c>
      <c r="F1146" t="s">
        <v>7092</v>
      </c>
      <c r="G1146">
        <v>87</v>
      </c>
      <c r="H1146" t="s">
        <v>75</v>
      </c>
      <c r="I1146" t="s">
        <v>7439</v>
      </c>
      <c r="J1146" s="1442"/>
      <c r="K1146" s="1442">
        <v>46274</v>
      </c>
      <c r="L1146" s="1442">
        <v>46272</v>
      </c>
      <c r="M1146" s="1442">
        <v>46272</v>
      </c>
      <c r="N1146" t="s">
        <v>2434</v>
      </c>
      <c r="O1146" s="1442">
        <v>46279</v>
      </c>
      <c r="P1146" s="1442">
        <v>46280</v>
      </c>
    </row>
    <row r="1147" spans="1:16">
      <c r="A1147" t="s">
        <v>7447</v>
      </c>
      <c r="B1147" t="s">
        <v>64</v>
      </c>
      <c r="C1147" t="s">
        <v>65</v>
      </c>
      <c r="E1147" t="s">
        <v>7091</v>
      </c>
      <c r="F1147" t="s">
        <v>7092</v>
      </c>
      <c r="G1147">
        <v>3</v>
      </c>
      <c r="H1147" t="s">
        <v>75</v>
      </c>
      <c r="I1147" t="s">
        <v>7439</v>
      </c>
      <c r="J1147" s="1442"/>
      <c r="K1147" s="1442">
        <v>46274</v>
      </c>
      <c r="L1147" s="1442">
        <v>46272</v>
      </c>
      <c r="M1147" s="1442">
        <v>46272</v>
      </c>
      <c r="N1147" t="s">
        <v>2434</v>
      </c>
      <c r="O1147" s="1442">
        <v>46279</v>
      </c>
      <c r="P1147" s="1442">
        <v>46280</v>
      </c>
    </row>
    <row r="1148" spans="1:16">
      <c r="A1148" t="s">
        <v>7448</v>
      </c>
      <c r="B1148" t="s">
        <v>64</v>
      </c>
      <c r="C1148" t="s">
        <v>65</v>
      </c>
      <c r="E1148" t="s">
        <v>7094</v>
      </c>
      <c r="F1148" t="s">
        <v>7096</v>
      </c>
      <c r="G1148">
        <v>331</v>
      </c>
      <c r="H1148" t="s">
        <v>75</v>
      </c>
      <c r="I1148" t="s">
        <v>7439</v>
      </c>
      <c r="J1148" s="1442"/>
      <c r="K1148" s="1442">
        <v>46274</v>
      </c>
      <c r="L1148" s="1442">
        <v>46272</v>
      </c>
      <c r="M1148" s="1442">
        <v>46272</v>
      </c>
      <c r="N1148" t="s">
        <v>2434</v>
      </c>
      <c r="O1148" s="1442">
        <v>46279</v>
      </c>
      <c r="P1148" s="1442">
        <v>46280</v>
      </c>
    </row>
    <row r="1149" spans="1:16">
      <c r="A1149" t="s">
        <v>7476</v>
      </c>
      <c r="B1149" t="s">
        <v>64</v>
      </c>
      <c r="C1149" t="s">
        <v>65</v>
      </c>
      <c r="E1149" t="s">
        <v>7105</v>
      </c>
      <c r="F1149" t="s">
        <v>7107</v>
      </c>
      <c r="G1149">
        <v>552</v>
      </c>
      <c r="H1149" t="s">
        <v>951</v>
      </c>
      <c r="I1149" t="s">
        <v>7474</v>
      </c>
      <c r="J1149" s="1442"/>
      <c r="K1149" s="1442">
        <v>46295</v>
      </c>
      <c r="L1149" s="1442">
        <v>46302</v>
      </c>
      <c r="M1149" s="1442"/>
      <c r="N1149" t="s">
        <v>2434</v>
      </c>
      <c r="O1149" s="1442">
        <v>46303</v>
      </c>
      <c r="P1149" s="1442">
        <v>46310</v>
      </c>
    </row>
    <row r="1150" spans="1:16">
      <c r="A1150" t="s">
        <v>7471</v>
      </c>
      <c r="B1150" t="s">
        <v>64</v>
      </c>
      <c r="C1150" t="s">
        <v>65</v>
      </c>
      <c r="E1150" t="s">
        <v>7105</v>
      </c>
      <c r="F1150" t="s">
        <v>7107</v>
      </c>
      <c r="G1150">
        <v>552</v>
      </c>
      <c r="H1150" t="s">
        <v>951</v>
      </c>
      <c r="I1150" t="s">
        <v>7474</v>
      </c>
      <c r="J1150" s="1442"/>
      <c r="K1150" s="1442">
        <v>46295</v>
      </c>
      <c r="L1150" s="1442">
        <v>46302</v>
      </c>
      <c r="M1150" s="1442"/>
      <c r="N1150" t="s">
        <v>2434</v>
      </c>
      <c r="O1150" s="1442">
        <v>46303</v>
      </c>
      <c r="P1150" s="1442">
        <v>46310</v>
      </c>
    </row>
    <row r="1151" spans="1:16">
      <c r="A1151" t="s">
        <v>7459</v>
      </c>
      <c r="B1151" t="s">
        <v>64</v>
      </c>
      <c r="C1151" t="s">
        <v>65</v>
      </c>
      <c r="E1151" t="s">
        <v>7070</v>
      </c>
      <c r="F1151" t="s">
        <v>7072</v>
      </c>
      <c r="G1151">
        <v>180</v>
      </c>
      <c r="H1151" t="s">
        <v>951</v>
      </c>
      <c r="I1151" t="s">
        <v>7454</v>
      </c>
      <c r="J1151" s="1442"/>
      <c r="K1151" s="1442">
        <v>46281</v>
      </c>
      <c r="L1151" s="1442">
        <v>46282</v>
      </c>
      <c r="M1151" s="1442"/>
      <c r="N1151" t="s">
        <v>2434</v>
      </c>
      <c r="O1151" s="1442">
        <v>46295</v>
      </c>
      <c r="P1151" s="1442">
        <v>46290</v>
      </c>
    </row>
    <row r="1152" spans="1:16">
      <c r="A1152" t="s">
        <v>7460</v>
      </c>
      <c r="B1152" t="s">
        <v>64</v>
      </c>
      <c r="C1152" t="s">
        <v>65</v>
      </c>
      <c r="E1152" t="s">
        <v>7082</v>
      </c>
      <c r="F1152" t="s">
        <v>7084</v>
      </c>
      <c r="G1152">
        <v>202</v>
      </c>
      <c r="H1152" t="s">
        <v>951</v>
      </c>
      <c r="I1152" t="s">
        <v>7454</v>
      </c>
      <c r="J1152" s="1442"/>
      <c r="K1152" s="1442">
        <v>46281</v>
      </c>
      <c r="L1152" s="1442">
        <v>46282</v>
      </c>
      <c r="M1152" s="1442"/>
      <c r="N1152" t="s">
        <v>2434</v>
      </c>
      <c r="O1152" s="1442">
        <v>46295</v>
      </c>
      <c r="P1152" s="1442">
        <v>46290</v>
      </c>
    </row>
    <row r="1153" spans="1:16">
      <c r="A1153" t="s">
        <v>7458</v>
      </c>
      <c r="B1153" t="s">
        <v>64</v>
      </c>
      <c r="C1153" t="s">
        <v>65</v>
      </c>
      <c r="E1153" t="s">
        <v>7094</v>
      </c>
      <c r="F1153" t="s">
        <v>7096</v>
      </c>
      <c r="G1153">
        <v>300</v>
      </c>
      <c r="H1153" t="s">
        <v>951</v>
      </c>
      <c r="I1153" t="s">
        <v>7454</v>
      </c>
      <c r="J1153" s="1442"/>
      <c r="K1153" s="1442">
        <v>46281</v>
      </c>
      <c r="L1153" s="1442">
        <v>46282</v>
      </c>
      <c r="M1153" s="1442"/>
      <c r="N1153" t="s">
        <v>2434</v>
      </c>
      <c r="O1153" s="1442">
        <v>46295</v>
      </c>
      <c r="P1153" s="1442">
        <v>46290</v>
      </c>
    </row>
    <row r="1154" spans="1:16">
      <c r="A1154" t="s">
        <v>7452</v>
      </c>
      <c r="B1154" t="s">
        <v>64</v>
      </c>
      <c r="C1154" t="s">
        <v>65</v>
      </c>
      <c r="E1154" t="s">
        <v>7082</v>
      </c>
      <c r="F1154" t="s">
        <v>7084</v>
      </c>
      <c r="G1154">
        <v>224</v>
      </c>
      <c r="H1154" t="s">
        <v>951</v>
      </c>
      <c r="I1154" t="s">
        <v>7454</v>
      </c>
      <c r="J1154" s="1442"/>
      <c r="K1154" s="1442">
        <v>46281</v>
      </c>
      <c r="L1154" s="1442">
        <v>46282</v>
      </c>
      <c r="M1154" s="1442"/>
      <c r="N1154" t="s">
        <v>2434</v>
      </c>
      <c r="O1154" s="1442">
        <v>46295</v>
      </c>
      <c r="P1154" s="1442">
        <v>46290</v>
      </c>
    </row>
    <row r="1155" spans="1:16">
      <c r="A1155" t="s">
        <v>7461</v>
      </c>
      <c r="B1155" t="s">
        <v>64</v>
      </c>
      <c r="C1155" t="s">
        <v>65</v>
      </c>
      <c r="E1155" t="s">
        <v>7105</v>
      </c>
      <c r="F1155" t="s">
        <v>7107</v>
      </c>
      <c r="G1155">
        <v>212</v>
      </c>
      <c r="H1155" t="s">
        <v>951</v>
      </c>
      <c r="I1155" t="s">
        <v>7464</v>
      </c>
      <c r="J1155" s="1442"/>
      <c r="K1155" s="1442">
        <v>46288</v>
      </c>
      <c r="L1155" s="1442">
        <v>46302</v>
      </c>
      <c r="M1155" s="1442"/>
      <c r="N1155" t="s">
        <v>2434</v>
      </c>
      <c r="O1155" s="1442">
        <v>46303</v>
      </c>
      <c r="P1155" s="1442">
        <v>46310</v>
      </c>
    </row>
    <row r="1156" spans="1:16">
      <c r="A1156" t="s">
        <v>7467</v>
      </c>
      <c r="B1156" t="s">
        <v>64</v>
      </c>
      <c r="C1156" t="s">
        <v>65</v>
      </c>
      <c r="E1156" t="s">
        <v>7105</v>
      </c>
      <c r="F1156" t="s">
        <v>7107</v>
      </c>
      <c r="G1156">
        <v>64</v>
      </c>
      <c r="H1156" t="s">
        <v>951</v>
      </c>
      <c r="I1156" t="s">
        <v>7464</v>
      </c>
      <c r="J1156" s="1442"/>
      <c r="K1156" s="1442">
        <v>46288</v>
      </c>
      <c r="L1156" s="1442">
        <v>46302</v>
      </c>
      <c r="M1156" s="1442"/>
      <c r="N1156" t="s">
        <v>2434</v>
      </c>
      <c r="O1156" s="1442">
        <v>46303</v>
      </c>
      <c r="P1156" s="1442">
        <v>46310</v>
      </c>
    </row>
    <row r="1157" spans="1:16">
      <c r="A1157" t="s">
        <v>7469</v>
      </c>
      <c r="B1157" t="s">
        <v>64</v>
      </c>
      <c r="C1157" t="s">
        <v>65</v>
      </c>
      <c r="E1157" t="s">
        <v>7105</v>
      </c>
      <c r="F1157" t="s">
        <v>7107</v>
      </c>
      <c r="G1157">
        <v>276</v>
      </c>
      <c r="H1157" t="s">
        <v>951</v>
      </c>
      <c r="I1157" t="s">
        <v>7464</v>
      </c>
      <c r="J1157" s="1442"/>
      <c r="K1157" s="1442">
        <v>46288</v>
      </c>
      <c r="L1157" s="1442">
        <v>46302</v>
      </c>
      <c r="M1157" s="1442"/>
      <c r="N1157" t="s">
        <v>2434</v>
      </c>
      <c r="O1157" s="1442">
        <v>46303</v>
      </c>
      <c r="P1157" s="1442">
        <v>46310</v>
      </c>
    </row>
    <row r="1158" spans="1:16">
      <c r="A1158" t="s">
        <v>7495</v>
      </c>
      <c r="B1158" t="s">
        <v>64</v>
      </c>
      <c r="C1158" t="s">
        <v>65</v>
      </c>
      <c r="E1158" t="s">
        <v>7094</v>
      </c>
      <c r="F1158" t="s">
        <v>7096</v>
      </c>
      <c r="G1158">
        <v>130</v>
      </c>
      <c r="H1158" t="s">
        <v>951</v>
      </c>
      <c r="I1158" t="s">
        <v>7490</v>
      </c>
      <c r="J1158" s="1442"/>
      <c r="K1158" s="1442">
        <v>46288</v>
      </c>
      <c r="L1158" s="1442">
        <v>46288</v>
      </c>
      <c r="M1158" s="1442"/>
      <c r="N1158" t="s">
        <v>2434</v>
      </c>
      <c r="O1158" s="1442">
        <v>46296</v>
      </c>
      <c r="P1158" s="1442">
        <v>46296</v>
      </c>
    </row>
    <row r="1159" spans="1:16">
      <c r="A1159" t="s">
        <v>7489</v>
      </c>
      <c r="B1159" t="s">
        <v>64</v>
      </c>
      <c r="C1159" t="s">
        <v>65</v>
      </c>
      <c r="E1159" t="s">
        <v>7082</v>
      </c>
      <c r="F1159" t="s">
        <v>7084</v>
      </c>
      <c r="G1159">
        <v>107</v>
      </c>
      <c r="H1159" t="s">
        <v>951</v>
      </c>
      <c r="I1159" t="s">
        <v>7490</v>
      </c>
      <c r="J1159" s="1442"/>
      <c r="K1159" s="1442">
        <v>46288</v>
      </c>
      <c r="L1159" s="1442">
        <v>46288</v>
      </c>
      <c r="M1159" s="1442"/>
      <c r="N1159" t="s">
        <v>2434</v>
      </c>
      <c r="O1159" s="1442">
        <v>46296</v>
      </c>
      <c r="P1159" s="1442">
        <v>46296</v>
      </c>
    </row>
    <row r="1160" spans="1:16">
      <c r="A1160" t="s">
        <v>7494</v>
      </c>
      <c r="B1160" t="s">
        <v>64</v>
      </c>
      <c r="C1160" t="s">
        <v>65</v>
      </c>
      <c r="E1160" t="s">
        <v>7091</v>
      </c>
      <c r="F1160" t="s">
        <v>7092</v>
      </c>
      <c r="G1160">
        <v>23</v>
      </c>
      <c r="H1160" t="s">
        <v>951</v>
      </c>
      <c r="I1160" t="s">
        <v>7490</v>
      </c>
      <c r="J1160" s="1442"/>
      <c r="K1160" s="1442">
        <v>46288</v>
      </c>
      <c r="L1160" s="1442">
        <v>46288</v>
      </c>
      <c r="M1160" s="1442"/>
      <c r="N1160" t="s">
        <v>2434</v>
      </c>
      <c r="O1160" s="1442">
        <v>46296</v>
      </c>
      <c r="P1160" s="1442">
        <v>46296</v>
      </c>
    </row>
    <row r="1161" spans="1:16">
      <c r="A1161" t="s">
        <v>7479</v>
      </c>
      <c r="B1161" t="s">
        <v>64</v>
      </c>
      <c r="C1161" t="s">
        <v>65</v>
      </c>
      <c r="E1161" t="s">
        <v>7105</v>
      </c>
      <c r="F1161" t="s">
        <v>7107</v>
      </c>
      <c r="G1161">
        <v>552</v>
      </c>
      <c r="H1161" t="s">
        <v>951</v>
      </c>
      <c r="I1161" t="s">
        <v>7482</v>
      </c>
      <c r="J1161" s="1442"/>
      <c r="K1161" s="1442">
        <v>46302</v>
      </c>
      <c r="L1161" s="1442">
        <v>46302</v>
      </c>
      <c r="M1161" s="1442"/>
      <c r="N1161" t="s">
        <v>2434</v>
      </c>
      <c r="O1161" s="1442">
        <v>46310</v>
      </c>
      <c r="P1161" s="1442">
        <v>46310</v>
      </c>
    </row>
    <row r="1162" spans="1:16">
      <c r="A1162" t="s">
        <v>7510</v>
      </c>
      <c r="B1162" t="s">
        <v>64</v>
      </c>
      <c r="C1162" t="s">
        <v>65</v>
      </c>
      <c r="E1162" t="s">
        <v>7082</v>
      </c>
      <c r="F1162" t="s">
        <v>7084</v>
      </c>
      <c r="G1162">
        <v>130</v>
      </c>
      <c r="H1162" t="s">
        <v>951</v>
      </c>
      <c r="I1162" t="s">
        <v>7511</v>
      </c>
      <c r="J1162" s="1442"/>
      <c r="K1162" s="1442">
        <v>46314</v>
      </c>
      <c r="L1162" s="1442">
        <v>46318</v>
      </c>
      <c r="M1162" s="1442"/>
      <c r="N1162" t="s">
        <v>2434</v>
      </c>
      <c r="O1162" s="1442">
        <v>46322</v>
      </c>
      <c r="P1162" s="1442">
        <v>46326</v>
      </c>
    </row>
    <row r="1163" spans="1:16">
      <c r="A1163" t="s">
        <v>7514</v>
      </c>
      <c r="B1163" t="s">
        <v>64</v>
      </c>
      <c r="C1163" t="s">
        <v>65</v>
      </c>
      <c r="E1163" t="s">
        <v>7094</v>
      </c>
      <c r="F1163" t="s">
        <v>7096</v>
      </c>
      <c r="G1163">
        <v>130</v>
      </c>
      <c r="H1163" t="s">
        <v>951</v>
      </c>
      <c r="I1163" t="s">
        <v>7511</v>
      </c>
      <c r="J1163" s="1442"/>
      <c r="K1163" s="1442">
        <v>46314</v>
      </c>
      <c r="L1163" s="1442">
        <v>46318</v>
      </c>
      <c r="M1163" s="1442"/>
      <c r="N1163" t="s">
        <v>2434</v>
      </c>
      <c r="O1163" s="1442">
        <v>46322</v>
      </c>
      <c r="P1163" s="1442">
        <v>46326</v>
      </c>
    </row>
    <row r="1164" spans="1:16">
      <c r="A1164" t="s">
        <v>7514</v>
      </c>
      <c r="B1164" t="s">
        <v>64</v>
      </c>
      <c r="C1164" t="s">
        <v>65</v>
      </c>
      <c r="E1164" t="s">
        <v>7094</v>
      </c>
      <c r="F1164" t="s">
        <v>7096</v>
      </c>
      <c r="G1164">
        <v>130</v>
      </c>
      <c r="H1164" t="s">
        <v>951</v>
      </c>
      <c r="I1164" t="s">
        <v>7511</v>
      </c>
      <c r="J1164" s="1442"/>
      <c r="K1164" s="1442">
        <v>46314</v>
      </c>
      <c r="L1164" s="1442">
        <v>46318</v>
      </c>
      <c r="M1164" s="1442"/>
      <c r="N1164" t="s">
        <v>2434</v>
      </c>
      <c r="O1164" s="1442">
        <v>46322</v>
      </c>
      <c r="P1164" s="1442">
        <v>46326</v>
      </c>
    </row>
    <row r="1165" spans="1:16">
      <c r="A1165" t="s">
        <v>7515</v>
      </c>
      <c r="B1165" t="s">
        <v>64</v>
      </c>
      <c r="C1165" t="s">
        <v>65</v>
      </c>
      <c r="E1165" t="s">
        <v>7082</v>
      </c>
      <c r="F1165" t="s">
        <v>7084</v>
      </c>
      <c r="G1165">
        <v>130</v>
      </c>
      <c r="H1165" t="s">
        <v>951</v>
      </c>
      <c r="I1165" t="s">
        <v>7511</v>
      </c>
      <c r="J1165" s="1442"/>
      <c r="K1165" s="1442">
        <v>46314</v>
      </c>
      <c r="L1165" s="1442">
        <v>46318</v>
      </c>
      <c r="M1165" s="1442"/>
      <c r="N1165" t="s">
        <v>2434</v>
      </c>
      <c r="O1165" s="1442">
        <v>46322</v>
      </c>
      <c r="P1165" s="1442">
        <v>46326</v>
      </c>
    </row>
    <row r="1166" spans="1:16">
      <c r="A1166" t="s">
        <v>7516</v>
      </c>
      <c r="B1166" t="s">
        <v>64</v>
      </c>
      <c r="C1166" t="s">
        <v>65</v>
      </c>
      <c r="E1166" t="s">
        <v>7094</v>
      </c>
      <c r="F1166" t="s">
        <v>7096</v>
      </c>
      <c r="G1166">
        <v>130</v>
      </c>
      <c r="H1166" t="s">
        <v>951</v>
      </c>
      <c r="I1166" t="s">
        <v>7511</v>
      </c>
      <c r="J1166" s="1442"/>
      <c r="K1166" s="1442">
        <v>46314</v>
      </c>
      <c r="L1166" s="1442">
        <v>46318</v>
      </c>
      <c r="M1166" s="1442"/>
      <c r="N1166" t="s">
        <v>2434</v>
      </c>
      <c r="O1166" s="1442">
        <v>46322</v>
      </c>
      <c r="P1166" s="1442">
        <v>46326</v>
      </c>
    </row>
    <row r="1167" spans="1:16">
      <c r="A1167" t="s">
        <v>7510</v>
      </c>
      <c r="B1167" t="s">
        <v>64</v>
      </c>
      <c r="C1167" t="s">
        <v>65</v>
      </c>
      <c r="E1167" t="s">
        <v>7082</v>
      </c>
      <c r="F1167" t="s">
        <v>7084</v>
      </c>
      <c r="G1167">
        <v>130</v>
      </c>
      <c r="H1167" t="s">
        <v>951</v>
      </c>
      <c r="I1167" t="s">
        <v>7511</v>
      </c>
      <c r="J1167" s="1442"/>
      <c r="K1167" s="1442">
        <v>46314</v>
      </c>
      <c r="L1167" s="1442">
        <v>46318</v>
      </c>
      <c r="M1167" s="1442"/>
      <c r="N1167" t="s">
        <v>2434</v>
      </c>
      <c r="O1167" s="1442">
        <v>46322</v>
      </c>
      <c r="P1167" s="1442">
        <v>46326</v>
      </c>
    </row>
    <row r="1168" spans="1:16">
      <c r="A1168" t="s">
        <v>7507</v>
      </c>
      <c r="B1168" t="s">
        <v>64</v>
      </c>
      <c r="C1168" t="s">
        <v>65</v>
      </c>
      <c r="E1168" t="s">
        <v>7082</v>
      </c>
      <c r="F1168" t="s">
        <v>7084</v>
      </c>
      <c r="G1168">
        <v>130</v>
      </c>
      <c r="H1168" t="s">
        <v>951</v>
      </c>
      <c r="I1168" t="s">
        <v>7497</v>
      </c>
      <c r="J1168" s="1442"/>
      <c r="K1168" s="1442">
        <v>46302</v>
      </c>
      <c r="L1168" s="1442">
        <v>46309</v>
      </c>
      <c r="M1168" s="1442"/>
      <c r="N1168" t="s">
        <v>2434</v>
      </c>
      <c r="O1168" s="1442">
        <v>46317</v>
      </c>
      <c r="P1168" s="1442">
        <v>46317</v>
      </c>
    </row>
    <row r="1169" spans="1:16">
      <c r="A1169" t="s">
        <v>7509</v>
      </c>
      <c r="B1169" t="s">
        <v>64</v>
      </c>
      <c r="C1169" t="s">
        <v>65</v>
      </c>
      <c r="E1169" t="s">
        <v>7078</v>
      </c>
      <c r="F1169" t="s">
        <v>7080</v>
      </c>
      <c r="G1169">
        <v>108</v>
      </c>
      <c r="H1169" t="s">
        <v>951</v>
      </c>
      <c r="I1169" t="s">
        <v>7497</v>
      </c>
      <c r="J1169" s="1442"/>
      <c r="K1169" s="1442">
        <v>46302</v>
      </c>
      <c r="L1169" s="1442">
        <v>46309</v>
      </c>
      <c r="M1169" s="1442"/>
      <c r="N1169" t="s">
        <v>2434</v>
      </c>
      <c r="O1169" s="1442">
        <v>46317</v>
      </c>
      <c r="P1169" s="1442">
        <v>46317</v>
      </c>
    </row>
    <row r="1170" spans="1:16">
      <c r="A1170" t="s">
        <v>7506</v>
      </c>
      <c r="B1170" t="s">
        <v>64</v>
      </c>
      <c r="C1170" t="s">
        <v>65</v>
      </c>
      <c r="E1170" t="s">
        <v>7070</v>
      </c>
      <c r="F1170" t="s">
        <v>7072</v>
      </c>
      <c r="G1170">
        <v>180</v>
      </c>
      <c r="H1170" t="s">
        <v>951</v>
      </c>
      <c r="I1170" t="s">
        <v>7497</v>
      </c>
      <c r="J1170" s="1442"/>
      <c r="K1170" s="1442">
        <v>46302</v>
      </c>
      <c r="L1170" s="1442">
        <v>46309</v>
      </c>
      <c r="M1170" s="1442"/>
      <c r="N1170" t="s">
        <v>2434</v>
      </c>
      <c r="O1170" s="1442">
        <v>46317</v>
      </c>
      <c r="P1170" s="1442">
        <v>46317</v>
      </c>
    </row>
    <row r="1171" spans="1:16">
      <c r="A1171" t="s">
        <v>7508</v>
      </c>
      <c r="B1171" t="s">
        <v>64</v>
      </c>
      <c r="C1171" t="s">
        <v>65</v>
      </c>
      <c r="E1171" t="s">
        <v>7094</v>
      </c>
      <c r="F1171" t="s">
        <v>7096</v>
      </c>
      <c r="G1171">
        <v>130</v>
      </c>
      <c r="H1171" t="s">
        <v>951</v>
      </c>
      <c r="I1171" t="s">
        <v>7497</v>
      </c>
      <c r="J1171" s="1442"/>
      <c r="K1171" s="1442">
        <v>46302</v>
      </c>
      <c r="L1171" s="1442">
        <v>46309</v>
      </c>
      <c r="M1171" s="1442"/>
      <c r="N1171" t="s">
        <v>2434</v>
      </c>
      <c r="O1171" s="1442">
        <v>46317</v>
      </c>
      <c r="P1171" s="1442">
        <v>46317</v>
      </c>
    </row>
    <row r="1172" spans="1:16">
      <c r="A1172" t="s">
        <v>7504</v>
      </c>
      <c r="B1172" t="s">
        <v>64</v>
      </c>
      <c r="C1172" t="s">
        <v>65</v>
      </c>
      <c r="E1172" t="s">
        <v>7094</v>
      </c>
      <c r="F1172" t="s">
        <v>7096</v>
      </c>
      <c r="G1172">
        <v>100</v>
      </c>
      <c r="H1172" t="s">
        <v>951</v>
      </c>
      <c r="I1172" t="s">
        <v>7497</v>
      </c>
      <c r="J1172" s="1442"/>
      <c r="K1172" s="1442">
        <v>46302</v>
      </c>
      <c r="L1172" s="1442">
        <v>46309</v>
      </c>
      <c r="M1172" s="1442"/>
      <c r="N1172" t="s">
        <v>2434</v>
      </c>
      <c r="O1172" s="1442">
        <v>46317</v>
      </c>
      <c r="P1172" s="1442">
        <v>46317</v>
      </c>
    </row>
    <row r="1173" spans="1:16">
      <c r="A1173" t="s">
        <v>7503</v>
      </c>
      <c r="B1173" t="s">
        <v>64</v>
      </c>
      <c r="C1173" t="s">
        <v>65</v>
      </c>
      <c r="E1173" t="s">
        <v>7091</v>
      </c>
      <c r="F1173" t="s">
        <v>7092</v>
      </c>
      <c r="G1173">
        <v>3</v>
      </c>
      <c r="H1173" t="s">
        <v>951</v>
      </c>
      <c r="I1173" t="s">
        <v>7497</v>
      </c>
      <c r="J1173" s="1442"/>
      <c r="K1173" s="1442">
        <v>46302</v>
      </c>
      <c r="L1173" s="1442">
        <v>46309</v>
      </c>
      <c r="M1173" s="1442"/>
      <c r="N1173" t="s">
        <v>2434</v>
      </c>
      <c r="O1173" s="1442">
        <v>46317</v>
      </c>
      <c r="P1173" s="1442">
        <v>46317</v>
      </c>
    </row>
    <row r="1174" spans="1:16">
      <c r="A1174" t="s">
        <v>7502</v>
      </c>
      <c r="B1174" t="s">
        <v>64</v>
      </c>
      <c r="C1174" t="s">
        <v>65</v>
      </c>
      <c r="E1174" t="s">
        <v>7091</v>
      </c>
      <c r="F1174" t="s">
        <v>7092</v>
      </c>
      <c r="G1174">
        <v>65</v>
      </c>
      <c r="H1174" t="s">
        <v>951</v>
      </c>
      <c r="I1174" t="s">
        <v>7497</v>
      </c>
      <c r="J1174" s="1442"/>
      <c r="K1174" s="1442">
        <v>46302</v>
      </c>
      <c r="L1174" s="1442">
        <v>46309</v>
      </c>
      <c r="M1174" s="1442"/>
      <c r="N1174" t="s">
        <v>2434</v>
      </c>
      <c r="O1174" s="1442">
        <v>46317</v>
      </c>
      <c r="P1174" s="1442">
        <v>46317</v>
      </c>
    </row>
    <row r="1175" spans="1:16">
      <c r="A1175" t="s">
        <v>7501</v>
      </c>
      <c r="B1175" t="s">
        <v>64</v>
      </c>
      <c r="C1175" t="s">
        <v>65</v>
      </c>
      <c r="E1175" t="s">
        <v>7082</v>
      </c>
      <c r="F1175" t="s">
        <v>7084</v>
      </c>
      <c r="G1175">
        <v>27</v>
      </c>
      <c r="H1175" t="s">
        <v>951</v>
      </c>
      <c r="I1175" t="s">
        <v>7497</v>
      </c>
      <c r="J1175" s="1442"/>
      <c r="K1175" s="1442">
        <v>46302</v>
      </c>
      <c r="L1175" s="1442">
        <v>46309</v>
      </c>
      <c r="M1175" s="1442"/>
      <c r="N1175" t="s">
        <v>2434</v>
      </c>
      <c r="O1175" s="1442">
        <v>46317</v>
      </c>
      <c r="P1175" s="1442">
        <v>46317</v>
      </c>
    </row>
    <row r="1176" spans="1:16">
      <c r="A1176" t="s">
        <v>7500</v>
      </c>
      <c r="B1176" t="s">
        <v>64</v>
      </c>
      <c r="C1176" t="s">
        <v>65</v>
      </c>
      <c r="E1176" t="s">
        <v>7116</v>
      </c>
      <c r="F1176" t="s">
        <v>7117</v>
      </c>
      <c r="G1176">
        <v>1</v>
      </c>
      <c r="H1176" t="s">
        <v>951</v>
      </c>
      <c r="I1176" t="s">
        <v>7497</v>
      </c>
      <c r="J1176" s="1442"/>
      <c r="K1176" s="1442">
        <v>46302</v>
      </c>
      <c r="L1176" s="1442">
        <v>46309</v>
      </c>
      <c r="M1176" s="1442"/>
      <c r="N1176" t="s">
        <v>2434</v>
      </c>
      <c r="O1176" s="1442">
        <v>46317</v>
      </c>
      <c r="P1176" s="1442">
        <v>46317</v>
      </c>
    </row>
    <row r="1177" spans="1:16">
      <c r="A1177" t="s">
        <v>7496</v>
      </c>
      <c r="B1177" t="s">
        <v>64</v>
      </c>
      <c r="C1177" t="s">
        <v>65</v>
      </c>
      <c r="E1177" t="s">
        <v>7116</v>
      </c>
      <c r="F1177" t="s">
        <v>7117</v>
      </c>
      <c r="G1177">
        <v>34</v>
      </c>
      <c r="H1177" t="s">
        <v>951</v>
      </c>
      <c r="I1177" t="s">
        <v>7497</v>
      </c>
      <c r="J1177" s="1442"/>
      <c r="K1177" s="1442">
        <v>46302</v>
      </c>
      <c r="L1177" s="1442">
        <v>46309</v>
      </c>
      <c r="M1177" s="1442"/>
      <c r="N1177" t="s">
        <v>2434</v>
      </c>
      <c r="O1177" s="1442">
        <v>46317</v>
      </c>
      <c r="P1177" s="1442">
        <v>46317</v>
      </c>
    </row>
    <row r="1178" spans="1:16">
      <c r="A1178" t="s">
        <v>7505</v>
      </c>
      <c r="B1178" t="s">
        <v>64</v>
      </c>
      <c r="C1178" t="s">
        <v>65</v>
      </c>
      <c r="E1178" t="s">
        <v>7094</v>
      </c>
      <c r="F1178" t="s">
        <v>7096</v>
      </c>
      <c r="G1178">
        <v>30</v>
      </c>
      <c r="H1178" t="s">
        <v>951</v>
      </c>
      <c r="I1178" t="s">
        <v>7497</v>
      </c>
      <c r="J1178" s="1442"/>
      <c r="K1178" s="1442">
        <v>46302</v>
      </c>
      <c r="L1178" s="1442">
        <v>46309</v>
      </c>
      <c r="M1178" s="1442"/>
      <c r="N1178" t="s">
        <v>2434</v>
      </c>
      <c r="O1178" s="1442">
        <v>46317</v>
      </c>
      <c r="P1178" s="1442">
        <v>46317</v>
      </c>
    </row>
    <row r="1179" spans="1:16">
      <c r="A1179" t="s">
        <v>7488</v>
      </c>
      <c r="B1179" t="s">
        <v>64</v>
      </c>
      <c r="C1179" t="s">
        <v>65</v>
      </c>
      <c r="E1179" t="s">
        <v>7105</v>
      </c>
      <c r="F1179" t="s">
        <v>7107</v>
      </c>
      <c r="G1179">
        <v>276</v>
      </c>
      <c r="H1179" t="s">
        <v>951</v>
      </c>
      <c r="I1179" t="s">
        <v>7486</v>
      </c>
      <c r="J1179" s="1442"/>
      <c r="K1179" s="1442">
        <v>46302</v>
      </c>
      <c r="L1179" s="1442">
        <v>46302</v>
      </c>
      <c r="M1179" s="1442"/>
      <c r="N1179" t="s">
        <v>2434</v>
      </c>
      <c r="O1179" s="1442">
        <v>46310</v>
      </c>
      <c r="P1179" s="1442">
        <v>46310</v>
      </c>
    </row>
    <row r="1180" spans="1:16">
      <c r="A1180" t="s">
        <v>7487</v>
      </c>
      <c r="B1180" t="s">
        <v>64</v>
      </c>
      <c r="C1180" t="s">
        <v>65</v>
      </c>
      <c r="E1180" t="s">
        <v>7105</v>
      </c>
      <c r="F1180" t="s">
        <v>7107</v>
      </c>
      <c r="G1180">
        <v>80</v>
      </c>
      <c r="H1180" t="s">
        <v>951</v>
      </c>
      <c r="I1180" t="s">
        <v>7486</v>
      </c>
      <c r="J1180" s="1442"/>
      <c r="K1180" s="1442">
        <v>46302</v>
      </c>
      <c r="L1180" s="1442">
        <v>46302</v>
      </c>
      <c r="M1180" s="1442"/>
      <c r="N1180" t="s">
        <v>2434</v>
      </c>
      <c r="O1180" s="1442">
        <v>46310</v>
      </c>
      <c r="P1180" s="1442">
        <v>46310</v>
      </c>
    </row>
    <row r="1181" spans="1:16">
      <c r="A1181" t="s">
        <v>7485</v>
      </c>
      <c r="B1181" t="s">
        <v>64</v>
      </c>
      <c r="C1181" t="s">
        <v>65</v>
      </c>
      <c r="E1181" t="s">
        <v>7105</v>
      </c>
      <c r="F1181" t="s">
        <v>7107</v>
      </c>
      <c r="G1181">
        <v>196</v>
      </c>
      <c r="H1181" t="s">
        <v>951</v>
      </c>
      <c r="I1181" t="s">
        <v>7486</v>
      </c>
      <c r="J1181" s="1442"/>
      <c r="K1181" s="1442">
        <v>46302</v>
      </c>
      <c r="L1181" s="1442">
        <v>46302</v>
      </c>
      <c r="M1181" s="1442"/>
      <c r="N1181" t="s">
        <v>2434</v>
      </c>
      <c r="O1181" s="1442">
        <v>46310</v>
      </c>
      <c r="P1181" s="1442">
        <v>46310</v>
      </c>
    </row>
    <row r="1182" spans="1:16">
      <c r="A1182" t="s">
        <v>7544</v>
      </c>
      <c r="B1182" t="s">
        <v>64</v>
      </c>
      <c r="C1182" t="s">
        <v>100</v>
      </c>
      <c r="E1182" t="s">
        <v>7546</v>
      </c>
      <c r="F1182" t="s">
        <v>7548</v>
      </c>
      <c r="G1182">
        <v>30</v>
      </c>
      <c r="H1182" t="s">
        <v>951</v>
      </c>
      <c r="I1182" t="s">
        <v>7551</v>
      </c>
      <c r="J1182" s="1442"/>
      <c r="K1182" s="1442">
        <v>46295</v>
      </c>
      <c r="L1182" s="1442">
        <v>46298</v>
      </c>
      <c r="M1182" s="1442"/>
      <c r="N1182" t="s">
        <v>2434</v>
      </c>
      <c r="O1182" s="1442">
        <v>46312</v>
      </c>
      <c r="P1182" s="1442">
        <v>46312</v>
      </c>
    </row>
    <row r="1183" spans="1:16">
      <c r="A1183" t="s">
        <v>7530</v>
      </c>
      <c r="B1183" t="s">
        <v>64</v>
      </c>
      <c r="C1183" t="s">
        <v>65</v>
      </c>
      <c r="E1183" t="s">
        <v>7094</v>
      </c>
      <c r="F1183" t="s">
        <v>7096</v>
      </c>
      <c r="G1183">
        <v>130</v>
      </c>
      <c r="H1183" t="s">
        <v>951</v>
      </c>
      <c r="I1183" t="s">
        <v>7524</v>
      </c>
      <c r="J1183" s="1442"/>
      <c r="K1183" s="1442">
        <v>46321</v>
      </c>
      <c r="L1183" s="1442">
        <v>46323</v>
      </c>
      <c r="M1183" s="1442"/>
      <c r="N1183" t="s">
        <v>10240</v>
      </c>
      <c r="O1183" s="1442" t="s">
        <v>2521</v>
      </c>
      <c r="P1183" s="1442">
        <v>46331</v>
      </c>
    </row>
    <row r="1184" spans="1:16">
      <c r="A1184" t="s">
        <v>7528</v>
      </c>
      <c r="B1184" t="s">
        <v>64</v>
      </c>
      <c r="C1184" t="s">
        <v>65</v>
      </c>
      <c r="E1184" t="s">
        <v>7082</v>
      </c>
      <c r="F1184" t="s">
        <v>7084</v>
      </c>
      <c r="G1184">
        <v>130</v>
      </c>
      <c r="H1184" t="s">
        <v>951</v>
      </c>
      <c r="I1184" t="s">
        <v>7524</v>
      </c>
      <c r="J1184" s="1442"/>
      <c r="K1184" s="1442">
        <v>46321</v>
      </c>
      <c r="L1184" s="1442">
        <v>46323</v>
      </c>
      <c r="M1184" s="1442"/>
      <c r="N1184" t="s">
        <v>10240</v>
      </c>
      <c r="O1184" s="1442" t="s">
        <v>2521</v>
      </c>
      <c r="P1184" s="1442">
        <v>46331</v>
      </c>
    </row>
    <row r="1185" spans="1:16">
      <c r="A1185" t="s">
        <v>7527</v>
      </c>
      <c r="B1185" t="s">
        <v>64</v>
      </c>
      <c r="C1185" t="s">
        <v>65</v>
      </c>
      <c r="E1185" t="s">
        <v>7094</v>
      </c>
      <c r="F1185" t="s">
        <v>7096</v>
      </c>
      <c r="G1185">
        <v>130</v>
      </c>
      <c r="H1185" t="s">
        <v>951</v>
      </c>
      <c r="I1185" t="s">
        <v>7524</v>
      </c>
      <c r="J1185" s="1442"/>
      <c r="K1185" s="1442">
        <v>46321</v>
      </c>
      <c r="L1185" s="1442">
        <v>46323</v>
      </c>
      <c r="M1185" s="1442"/>
      <c r="N1185" t="s">
        <v>10240</v>
      </c>
      <c r="O1185" s="1442" t="s">
        <v>2521</v>
      </c>
      <c r="P1185" s="1442">
        <v>46331</v>
      </c>
    </row>
    <row r="1186" spans="1:16">
      <c r="A1186" t="s">
        <v>7522</v>
      </c>
      <c r="B1186" t="s">
        <v>64</v>
      </c>
      <c r="C1186" t="s">
        <v>65</v>
      </c>
      <c r="E1186" t="s">
        <v>7082</v>
      </c>
      <c r="F1186" t="s">
        <v>7084</v>
      </c>
      <c r="G1186">
        <v>130</v>
      </c>
      <c r="H1186" t="s">
        <v>951</v>
      </c>
      <c r="I1186" t="s">
        <v>7524</v>
      </c>
      <c r="J1186" s="1442"/>
      <c r="K1186" s="1442">
        <v>46321</v>
      </c>
      <c r="L1186" s="1442">
        <v>46323</v>
      </c>
      <c r="M1186" s="1442"/>
      <c r="N1186" t="s">
        <v>10240</v>
      </c>
      <c r="O1186" s="1442" t="s">
        <v>2521</v>
      </c>
      <c r="P1186" s="1442">
        <v>46331</v>
      </c>
    </row>
    <row r="1187" spans="1:16">
      <c r="A1187" t="s">
        <v>7586</v>
      </c>
      <c r="B1187" t="s">
        <v>64</v>
      </c>
      <c r="C1187" t="s">
        <v>65</v>
      </c>
      <c r="E1187" t="s">
        <v>7082</v>
      </c>
      <c r="F1187" t="s">
        <v>7084</v>
      </c>
      <c r="G1187">
        <v>130</v>
      </c>
      <c r="H1187" t="s">
        <v>2521</v>
      </c>
      <c r="I1187" t="s">
        <v>7588</v>
      </c>
      <c r="J1187" s="1442"/>
      <c r="K1187" s="1442">
        <v>46328</v>
      </c>
      <c r="L1187" s="1442">
        <v>46328</v>
      </c>
      <c r="M1187" s="1442"/>
      <c r="N1187" t="s">
        <v>10240</v>
      </c>
      <c r="O1187" s="1442" t="s">
        <v>2521</v>
      </c>
      <c r="P1187" s="1442">
        <v>46336</v>
      </c>
    </row>
    <row r="1188" spans="1:16">
      <c r="A1188" t="s">
        <v>7591</v>
      </c>
      <c r="B1188" t="s">
        <v>64</v>
      </c>
      <c r="C1188" t="s">
        <v>65</v>
      </c>
      <c r="E1188" t="s">
        <v>7094</v>
      </c>
      <c r="F1188" t="s">
        <v>7096</v>
      </c>
      <c r="G1188">
        <v>130</v>
      </c>
      <c r="H1188" t="s">
        <v>2521</v>
      </c>
      <c r="I1188" t="s">
        <v>7588</v>
      </c>
      <c r="J1188" s="1442"/>
      <c r="K1188" s="1442">
        <v>46328</v>
      </c>
      <c r="L1188" s="1442">
        <v>46328</v>
      </c>
      <c r="M1188" s="1442"/>
      <c r="N1188" t="s">
        <v>10240</v>
      </c>
      <c r="O1188" s="1442" t="s">
        <v>2521</v>
      </c>
      <c r="P1188" s="1442">
        <v>46336</v>
      </c>
    </row>
    <row r="1189" spans="1:16">
      <c r="A1189" t="s">
        <v>7517</v>
      </c>
      <c r="B1189" t="s">
        <v>64</v>
      </c>
      <c r="C1189" t="s">
        <v>65</v>
      </c>
      <c r="E1189" t="s">
        <v>7105</v>
      </c>
      <c r="F1189" t="s">
        <v>7107</v>
      </c>
      <c r="G1189">
        <v>552</v>
      </c>
      <c r="H1189" t="s">
        <v>2521</v>
      </c>
      <c r="I1189" t="s">
        <v>7519</v>
      </c>
      <c r="J1189" s="1442"/>
      <c r="K1189" s="1442">
        <v>46330</v>
      </c>
      <c r="L1189" s="1442">
        <v>46330</v>
      </c>
      <c r="M1189" s="1442"/>
      <c r="N1189" t="s">
        <v>10240</v>
      </c>
      <c r="O1189" s="1442" t="s">
        <v>2521</v>
      </c>
      <c r="P1189" s="1442">
        <v>46338</v>
      </c>
    </row>
    <row r="1190" spans="1:16">
      <c r="A1190" t="s">
        <v>7531</v>
      </c>
      <c r="B1190" t="s">
        <v>64</v>
      </c>
      <c r="C1190" t="s">
        <v>65</v>
      </c>
      <c r="E1190" t="s">
        <v>7105</v>
      </c>
      <c r="F1190" t="s">
        <v>7107</v>
      </c>
      <c r="G1190">
        <v>552</v>
      </c>
      <c r="I1190" t="s">
        <v>7533</v>
      </c>
      <c r="J1190" s="1442"/>
      <c r="K1190" s="1442">
        <v>46316</v>
      </c>
      <c r="L1190" s="1442">
        <v>46330</v>
      </c>
      <c r="M1190" s="1442"/>
      <c r="N1190" t="s">
        <v>10240</v>
      </c>
      <c r="O1190" s="1442" t="s">
        <v>2521</v>
      </c>
      <c r="P1190" s="1442">
        <v>46338</v>
      </c>
    </row>
    <row r="1191" spans="1:16">
      <c r="A1191" t="s">
        <v>7578</v>
      </c>
      <c r="B1191" t="s">
        <v>64</v>
      </c>
      <c r="C1191" t="s">
        <v>114</v>
      </c>
      <c r="E1191" t="s">
        <v>7082</v>
      </c>
      <c r="F1191" t="s">
        <v>7084</v>
      </c>
      <c r="G1191">
        <v>46</v>
      </c>
      <c r="H1191" t="s">
        <v>2521</v>
      </c>
      <c r="I1191" t="s">
        <v>7580</v>
      </c>
      <c r="J1191" s="1442"/>
      <c r="K1191" s="1442">
        <v>46306</v>
      </c>
      <c r="L1191" s="1442">
        <v>46313</v>
      </c>
      <c r="M1191" s="1442"/>
      <c r="N1191" t="s">
        <v>10240</v>
      </c>
      <c r="O1191" s="1442" t="s">
        <v>2521</v>
      </c>
      <c r="P1191" s="1442">
        <v>46322</v>
      </c>
    </row>
    <row r="1192" spans="1:16">
      <c r="A1192" t="s">
        <v>7583</v>
      </c>
      <c r="B1192" t="s">
        <v>64</v>
      </c>
      <c r="C1192" t="s">
        <v>114</v>
      </c>
      <c r="E1192" t="s">
        <v>7091</v>
      </c>
      <c r="F1192" t="s">
        <v>7092</v>
      </c>
      <c r="G1192">
        <v>20</v>
      </c>
      <c r="H1192" t="s">
        <v>2521</v>
      </c>
      <c r="I1192" t="s">
        <v>7580</v>
      </c>
      <c r="J1192" s="1442"/>
      <c r="K1192" s="1442">
        <v>46306</v>
      </c>
      <c r="L1192" s="1442">
        <v>46313</v>
      </c>
      <c r="M1192" s="1442"/>
      <c r="N1192" t="s">
        <v>10240</v>
      </c>
      <c r="O1192" s="1442" t="s">
        <v>2521</v>
      </c>
      <c r="P1192" s="1442">
        <v>46322</v>
      </c>
    </row>
    <row r="1193" spans="1:16">
      <c r="A1193" t="s">
        <v>7584</v>
      </c>
      <c r="B1193" t="s">
        <v>64</v>
      </c>
      <c r="C1193" t="s">
        <v>114</v>
      </c>
      <c r="E1193" t="s">
        <v>7094</v>
      </c>
      <c r="F1193" t="s">
        <v>7096</v>
      </c>
      <c r="G1193">
        <v>66</v>
      </c>
      <c r="H1193" t="s">
        <v>2521</v>
      </c>
      <c r="I1193" t="s">
        <v>7580</v>
      </c>
      <c r="J1193" s="1442"/>
      <c r="K1193" s="1442">
        <v>46306</v>
      </c>
      <c r="L1193" s="1442">
        <v>46313</v>
      </c>
      <c r="M1193" s="1442"/>
      <c r="N1193" t="s">
        <v>10240</v>
      </c>
      <c r="O1193" s="1442" t="s">
        <v>2521</v>
      </c>
      <c r="P1193" s="1442">
        <v>46322</v>
      </c>
    </row>
    <row r="1194" spans="1:16">
      <c r="A1194" t="s">
        <v>7585</v>
      </c>
      <c r="B1194" t="s">
        <v>64</v>
      </c>
      <c r="C1194" t="s">
        <v>114</v>
      </c>
      <c r="E1194" t="s">
        <v>7105</v>
      </c>
      <c r="F1194" t="s">
        <v>7107</v>
      </c>
      <c r="G1194">
        <v>132</v>
      </c>
      <c r="H1194" t="s">
        <v>2521</v>
      </c>
      <c r="I1194" t="s">
        <v>7580</v>
      </c>
      <c r="J1194" s="1442"/>
      <c r="K1194" s="1442">
        <v>46306</v>
      </c>
      <c r="L1194" s="1442">
        <v>46313</v>
      </c>
      <c r="M1194" s="1442"/>
      <c r="N1194" t="s">
        <v>10240</v>
      </c>
      <c r="O1194" s="1442" t="s">
        <v>2521</v>
      </c>
      <c r="P1194" s="1442">
        <v>46322</v>
      </c>
    </row>
    <row r="1195" spans="1:16">
      <c r="A1195" t="s">
        <v>7666</v>
      </c>
      <c r="B1195" t="s">
        <v>68</v>
      </c>
      <c r="C1195" t="s">
        <v>68</v>
      </c>
      <c r="E1195" t="s">
        <v>7569</v>
      </c>
      <c r="F1195" t="s">
        <v>7656</v>
      </c>
      <c r="G1195">
        <v>54</v>
      </c>
      <c r="H1195" t="s">
        <v>2521</v>
      </c>
      <c r="I1195" t="s">
        <v>6885</v>
      </c>
      <c r="J1195" s="1442"/>
      <c r="K1195" s="1442">
        <v>46282</v>
      </c>
      <c r="L1195" s="1442">
        <v>46282</v>
      </c>
      <c r="M1195" s="1442"/>
      <c r="N1195" t="s">
        <v>10240</v>
      </c>
      <c r="O1195" s="1442" t="s">
        <v>2521</v>
      </c>
      <c r="P1195" s="1442">
        <v>46296</v>
      </c>
    </row>
    <row r="1196" spans="1:16">
      <c r="A1196" t="s">
        <v>7659</v>
      </c>
      <c r="B1196" t="s">
        <v>68</v>
      </c>
      <c r="C1196" t="s">
        <v>68</v>
      </c>
      <c r="E1196" t="s">
        <v>7561</v>
      </c>
      <c r="F1196" t="s">
        <v>7563</v>
      </c>
      <c r="G1196">
        <v>54</v>
      </c>
      <c r="H1196" t="s">
        <v>2521</v>
      </c>
      <c r="I1196" t="s">
        <v>6885</v>
      </c>
      <c r="J1196" s="1442"/>
      <c r="K1196" s="1442">
        <v>46282</v>
      </c>
      <c r="L1196" s="1442">
        <v>46282</v>
      </c>
      <c r="M1196" s="1442"/>
      <c r="N1196" t="s">
        <v>10240</v>
      </c>
      <c r="O1196" s="1442" t="s">
        <v>2521</v>
      </c>
      <c r="P1196" s="1442">
        <v>46296</v>
      </c>
    </row>
    <row r="1197" spans="1:16">
      <c r="A1197" t="s">
        <v>7667</v>
      </c>
      <c r="B1197" t="s">
        <v>68</v>
      </c>
      <c r="C1197" t="s">
        <v>68</v>
      </c>
      <c r="E1197" t="s">
        <v>7573</v>
      </c>
      <c r="F1197" t="s">
        <v>7658</v>
      </c>
      <c r="G1197">
        <v>16</v>
      </c>
      <c r="H1197" t="s">
        <v>2521</v>
      </c>
      <c r="I1197" t="s">
        <v>6885</v>
      </c>
      <c r="J1197" s="1442"/>
      <c r="K1197" s="1442">
        <v>46282</v>
      </c>
      <c r="L1197" s="1442">
        <v>46282</v>
      </c>
      <c r="M1197" s="1442"/>
      <c r="N1197" t="s">
        <v>10240</v>
      </c>
      <c r="O1197" s="1442" t="s">
        <v>2521</v>
      </c>
      <c r="P1197" s="1442">
        <v>46296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70"/>
  <sheetViews>
    <sheetView tabSelected="1" topLeftCell="A70" zoomScale="85" zoomScaleNormal="85" workbookViewId="0">
      <selection activeCell="G27" sqref="G27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10239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7059</v>
      </c>
      <c r="B2" t="s">
        <v>450</v>
      </c>
      <c r="C2" t="s">
        <v>4526</v>
      </c>
      <c r="D2" t="s">
        <v>7049</v>
      </c>
      <c r="E2" t="s">
        <v>7050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7036</v>
      </c>
      <c r="L2" t="s">
        <v>61</v>
      </c>
      <c r="M2" t="s">
        <v>456</v>
      </c>
      <c r="P2" s="214" t="s">
        <v>2521</v>
      </c>
      <c r="U2">
        <v>7</v>
      </c>
      <c r="V2" s="214">
        <v>46416</v>
      </c>
    </row>
    <row r="3" spans="1:22">
      <c r="A3" t="s">
        <v>7035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7036</v>
      </c>
      <c r="L3" t="s">
        <v>123</v>
      </c>
      <c r="M3" t="s">
        <v>314</v>
      </c>
      <c r="P3" s="214" t="s">
        <v>2521</v>
      </c>
      <c r="U3">
        <v>10</v>
      </c>
      <c r="V3" s="214">
        <v>46409</v>
      </c>
    </row>
    <row r="4" spans="1:22">
      <c r="A4" t="s">
        <v>7031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7032</v>
      </c>
      <c r="L4" t="s">
        <v>123</v>
      </c>
      <c r="M4" t="s">
        <v>1561</v>
      </c>
      <c r="P4" s="214" t="s">
        <v>2521</v>
      </c>
      <c r="U4">
        <v>10</v>
      </c>
      <c r="V4" s="214">
        <v>46402</v>
      </c>
    </row>
    <row r="5" spans="1:22">
      <c r="A5" t="s">
        <v>7033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7034</v>
      </c>
      <c r="L5" t="s">
        <v>123</v>
      </c>
      <c r="M5" t="s">
        <v>314</v>
      </c>
      <c r="P5" s="214" t="s">
        <v>2521</v>
      </c>
      <c r="U5">
        <v>10</v>
      </c>
      <c r="V5" s="214">
        <v>46395</v>
      </c>
    </row>
    <row r="6" spans="1:22">
      <c r="A6" t="s">
        <v>7057</v>
      </c>
      <c r="B6" t="s">
        <v>450</v>
      </c>
      <c r="C6" t="s">
        <v>4526</v>
      </c>
      <c r="D6" t="s">
        <v>7049</v>
      </c>
      <c r="E6" t="s">
        <v>7050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7034</v>
      </c>
      <c r="L6" t="s">
        <v>61</v>
      </c>
      <c r="M6" t="s">
        <v>456</v>
      </c>
      <c r="P6" s="214" t="s">
        <v>2521</v>
      </c>
      <c r="U6">
        <v>7</v>
      </c>
      <c r="V6" s="214">
        <v>46402</v>
      </c>
    </row>
    <row r="7" spans="1:22">
      <c r="A7" t="s">
        <v>7001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7002</v>
      </c>
      <c r="L7" t="s">
        <v>122</v>
      </c>
      <c r="M7" t="s">
        <v>78</v>
      </c>
      <c r="P7" s="214" t="s">
        <v>2521</v>
      </c>
      <c r="U7">
        <v>8</v>
      </c>
      <c r="V7" s="214">
        <v>46386</v>
      </c>
    </row>
    <row r="8" spans="1:22">
      <c r="A8" t="s">
        <v>7026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7002</v>
      </c>
      <c r="L8" t="s">
        <v>123</v>
      </c>
      <c r="M8" t="s">
        <v>314</v>
      </c>
      <c r="P8" s="214" t="s">
        <v>2521</v>
      </c>
      <c r="U8">
        <v>10</v>
      </c>
      <c r="V8" s="214">
        <v>46388</v>
      </c>
    </row>
    <row r="9" spans="1:22">
      <c r="A9" t="s">
        <v>7028</v>
      </c>
      <c r="B9" t="s">
        <v>100</v>
      </c>
      <c r="C9" t="s">
        <v>170</v>
      </c>
      <c r="D9" t="s">
        <v>1977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7002</v>
      </c>
      <c r="L9" t="s">
        <v>123</v>
      </c>
      <c r="M9" t="s">
        <v>105</v>
      </c>
      <c r="P9" s="214" t="s">
        <v>2521</v>
      </c>
      <c r="U9">
        <v>7</v>
      </c>
      <c r="V9" s="214">
        <v>46381</v>
      </c>
    </row>
    <row r="10" spans="1:22">
      <c r="A10" t="s">
        <v>7023</v>
      </c>
      <c r="B10" t="s">
        <v>100</v>
      </c>
      <c r="C10" t="s">
        <v>170</v>
      </c>
      <c r="D10" t="s">
        <v>171</v>
      </c>
      <c r="E10" t="s">
        <v>1731</v>
      </c>
      <c r="F10">
        <v>555</v>
      </c>
      <c r="G10">
        <v>3300</v>
      </c>
      <c r="H10">
        <v>1.8314999999999999</v>
      </c>
      <c r="I10">
        <v>100</v>
      </c>
      <c r="J10">
        <v>5</v>
      </c>
      <c r="K10" t="s">
        <v>7000</v>
      </c>
      <c r="L10" t="s">
        <v>123</v>
      </c>
      <c r="M10" t="s">
        <v>105</v>
      </c>
      <c r="P10" s="214" t="s">
        <v>2521</v>
      </c>
      <c r="U10">
        <v>7</v>
      </c>
      <c r="V10" s="214">
        <v>46374</v>
      </c>
    </row>
    <row r="11" spans="1:22">
      <c r="A11" t="s">
        <v>6999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7000</v>
      </c>
      <c r="L11" t="s">
        <v>122</v>
      </c>
      <c r="M11" t="s">
        <v>78</v>
      </c>
      <c r="P11" s="214" t="s">
        <v>2521</v>
      </c>
      <c r="U11">
        <v>8</v>
      </c>
      <c r="V11" s="214">
        <v>46379</v>
      </c>
    </row>
    <row r="12" spans="1:22">
      <c r="A12" t="s">
        <v>7030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7000</v>
      </c>
      <c r="L12" t="s">
        <v>123</v>
      </c>
      <c r="M12" t="s">
        <v>314</v>
      </c>
      <c r="P12" s="214" t="s">
        <v>2521</v>
      </c>
      <c r="U12">
        <v>10</v>
      </c>
      <c r="V12" s="214">
        <v>46381</v>
      </c>
    </row>
    <row r="13" spans="1:22">
      <c r="A13" t="s">
        <v>7007</v>
      </c>
      <c r="B13" t="s">
        <v>65</v>
      </c>
      <c r="C13" t="s">
        <v>550</v>
      </c>
      <c r="D13" t="s">
        <v>551</v>
      </c>
      <c r="E13" t="s">
        <v>2151</v>
      </c>
      <c r="F13">
        <v>510</v>
      </c>
      <c r="G13">
        <v>3168</v>
      </c>
      <c r="H13">
        <v>1.61568</v>
      </c>
      <c r="I13">
        <v>88</v>
      </c>
      <c r="J13">
        <v>4</v>
      </c>
      <c r="K13" t="s">
        <v>6755</v>
      </c>
      <c r="L13" t="s">
        <v>122</v>
      </c>
      <c r="M13" t="s">
        <v>78</v>
      </c>
      <c r="P13" s="214" t="s">
        <v>2521</v>
      </c>
      <c r="U13">
        <v>8</v>
      </c>
      <c r="V13" s="214">
        <v>46372</v>
      </c>
    </row>
    <row r="14" spans="1:22">
      <c r="A14" t="s">
        <v>7010</v>
      </c>
      <c r="B14" t="s">
        <v>114</v>
      </c>
      <c r="C14" t="s">
        <v>550</v>
      </c>
      <c r="D14" t="s">
        <v>2134</v>
      </c>
      <c r="E14" t="s">
        <v>2135</v>
      </c>
      <c r="F14">
        <v>515</v>
      </c>
      <c r="G14">
        <v>792</v>
      </c>
      <c r="H14">
        <v>0.40788000000000002</v>
      </c>
      <c r="I14">
        <v>22</v>
      </c>
      <c r="J14">
        <v>1</v>
      </c>
      <c r="K14" t="s">
        <v>6755</v>
      </c>
      <c r="L14" t="s">
        <v>122</v>
      </c>
      <c r="M14" t="s">
        <v>124</v>
      </c>
      <c r="P14" s="214" t="s">
        <v>2521</v>
      </c>
      <c r="U14">
        <v>9</v>
      </c>
      <c r="V14" s="214">
        <v>46369</v>
      </c>
    </row>
    <row r="15" spans="1:22">
      <c r="A15" t="s">
        <v>7016</v>
      </c>
      <c r="B15" t="s">
        <v>310</v>
      </c>
      <c r="C15" t="s">
        <v>550</v>
      </c>
      <c r="D15" t="s">
        <v>2134</v>
      </c>
      <c r="E15" t="s">
        <v>2135</v>
      </c>
      <c r="F15">
        <v>515</v>
      </c>
      <c r="G15">
        <v>3168</v>
      </c>
      <c r="H15">
        <v>1.6315200000000001</v>
      </c>
      <c r="I15">
        <v>88</v>
      </c>
      <c r="J15">
        <v>4</v>
      </c>
      <c r="K15" t="s">
        <v>6755</v>
      </c>
      <c r="L15" t="s">
        <v>122</v>
      </c>
      <c r="M15" t="s">
        <v>314</v>
      </c>
      <c r="P15" s="214" t="s">
        <v>2521</v>
      </c>
      <c r="U15">
        <v>10</v>
      </c>
      <c r="V15" s="214">
        <v>46374</v>
      </c>
    </row>
    <row r="16" spans="1:22">
      <c r="A16" t="s">
        <v>7022</v>
      </c>
      <c r="B16" t="s">
        <v>114</v>
      </c>
      <c r="C16" t="s">
        <v>170</v>
      </c>
      <c r="D16" t="s">
        <v>171</v>
      </c>
      <c r="E16" t="s">
        <v>1731</v>
      </c>
      <c r="F16">
        <v>555</v>
      </c>
      <c r="G16">
        <v>1320</v>
      </c>
      <c r="H16">
        <v>0.73260000000000003</v>
      </c>
      <c r="I16">
        <v>40</v>
      </c>
      <c r="J16">
        <v>2</v>
      </c>
      <c r="K16" t="s">
        <v>6755</v>
      </c>
      <c r="L16" t="s">
        <v>123</v>
      </c>
      <c r="M16" t="s">
        <v>124</v>
      </c>
      <c r="P16" s="214" t="s">
        <v>2521</v>
      </c>
      <c r="U16">
        <v>9</v>
      </c>
      <c r="V16" s="214">
        <v>46369</v>
      </c>
    </row>
    <row r="17" spans="1:22">
      <c r="A17" t="s">
        <v>7024</v>
      </c>
      <c r="B17" t="s">
        <v>310</v>
      </c>
      <c r="C17" t="s">
        <v>170</v>
      </c>
      <c r="D17" t="s">
        <v>171</v>
      </c>
      <c r="E17" t="s">
        <v>1731</v>
      </c>
      <c r="F17">
        <v>555</v>
      </c>
      <c r="G17">
        <v>1980</v>
      </c>
      <c r="H17">
        <v>1.0989</v>
      </c>
      <c r="I17">
        <v>60</v>
      </c>
      <c r="J17">
        <v>3</v>
      </c>
      <c r="K17" t="s">
        <v>6755</v>
      </c>
      <c r="L17" t="s">
        <v>123</v>
      </c>
      <c r="M17" t="s">
        <v>1561</v>
      </c>
      <c r="P17" s="214" t="s">
        <v>2521</v>
      </c>
      <c r="U17">
        <v>10</v>
      </c>
      <c r="V17" s="214">
        <v>46374</v>
      </c>
    </row>
    <row r="18" spans="1:22">
      <c r="A18" t="s">
        <v>6754</v>
      </c>
      <c r="B18" t="s">
        <v>114</v>
      </c>
      <c r="C18" t="s">
        <v>550</v>
      </c>
      <c r="D18" t="s">
        <v>2134</v>
      </c>
      <c r="E18" t="s">
        <v>2135</v>
      </c>
      <c r="F18">
        <v>515</v>
      </c>
      <c r="G18">
        <v>792</v>
      </c>
      <c r="H18">
        <v>0.40788000000000002</v>
      </c>
      <c r="I18">
        <v>22</v>
      </c>
      <c r="J18">
        <v>1</v>
      </c>
      <c r="K18" t="s">
        <v>6755</v>
      </c>
      <c r="L18" t="s">
        <v>122</v>
      </c>
      <c r="M18" t="s">
        <v>124</v>
      </c>
      <c r="N18" s="214">
        <v>46292</v>
      </c>
      <c r="P18" s="214" t="s">
        <v>2521</v>
      </c>
      <c r="Q18" s="214">
        <v>46345</v>
      </c>
      <c r="U18">
        <v>9</v>
      </c>
      <c r="V18" s="214">
        <v>46354</v>
      </c>
    </row>
    <row r="19" spans="1:22">
      <c r="A19" t="s">
        <v>7025</v>
      </c>
      <c r="B19" t="s">
        <v>310</v>
      </c>
      <c r="C19" t="s">
        <v>170</v>
      </c>
      <c r="D19" t="s">
        <v>171</v>
      </c>
      <c r="E19" t="s">
        <v>1731</v>
      </c>
      <c r="F19">
        <v>555</v>
      </c>
      <c r="G19">
        <v>3960</v>
      </c>
      <c r="H19">
        <v>2.1978</v>
      </c>
      <c r="I19">
        <v>120</v>
      </c>
      <c r="J19">
        <v>6</v>
      </c>
      <c r="K19" t="s">
        <v>6755</v>
      </c>
      <c r="L19" t="s">
        <v>123</v>
      </c>
      <c r="M19" t="s">
        <v>314</v>
      </c>
      <c r="P19" s="214" t="s">
        <v>2521</v>
      </c>
      <c r="U19">
        <v>10</v>
      </c>
      <c r="V19" s="214">
        <v>46374</v>
      </c>
    </row>
    <row r="20" spans="1:22">
      <c r="A20" t="s">
        <v>7029</v>
      </c>
      <c r="B20" t="s">
        <v>100</v>
      </c>
      <c r="C20" t="s">
        <v>170</v>
      </c>
      <c r="D20" t="s">
        <v>1977</v>
      </c>
      <c r="E20" t="s">
        <v>1978</v>
      </c>
      <c r="F20">
        <v>560</v>
      </c>
      <c r="G20">
        <v>3960</v>
      </c>
      <c r="H20">
        <v>2.2176</v>
      </c>
      <c r="I20">
        <v>120</v>
      </c>
      <c r="J20">
        <v>6</v>
      </c>
      <c r="K20" t="s">
        <v>6755</v>
      </c>
      <c r="L20" t="s">
        <v>123</v>
      </c>
      <c r="M20" t="s">
        <v>105</v>
      </c>
      <c r="P20" s="214" t="s">
        <v>2521</v>
      </c>
      <c r="U20">
        <v>7</v>
      </c>
      <c r="V20" s="214">
        <v>46367</v>
      </c>
    </row>
    <row r="21" spans="1:22">
      <c r="A21" t="s">
        <v>7044</v>
      </c>
      <c r="B21" t="s">
        <v>100</v>
      </c>
      <c r="C21" t="s">
        <v>4526</v>
      </c>
      <c r="D21" t="s">
        <v>1151</v>
      </c>
      <c r="E21" t="s">
        <v>421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6755</v>
      </c>
      <c r="L21" t="s">
        <v>61</v>
      </c>
      <c r="M21" t="s">
        <v>105</v>
      </c>
      <c r="P21" s="214" t="s">
        <v>2521</v>
      </c>
      <c r="U21">
        <v>7</v>
      </c>
      <c r="V21" s="214">
        <v>46388</v>
      </c>
    </row>
    <row r="22" spans="1:22">
      <c r="A22" t="s">
        <v>7055</v>
      </c>
      <c r="B22" t="s">
        <v>450</v>
      </c>
      <c r="C22" t="s">
        <v>4526</v>
      </c>
      <c r="D22" t="s">
        <v>7049</v>
      </c>
      <c r="E22" t="s">
        <v>7050</v>
      </c>
      <c r="F22">
        <v>505</v>
      </c>
      <c r="G22">
        <v>3456</v>
      </c>
      <c r="H22">
        <v>1.7452799999999999</v>
      </c>
      <c r="I22">
        <v>96</v>
      </c>
      <c r="J22">
        <v>4</v>
      </c>
      <c r="K22" t="s">
        <v>6755</v>
      </c>
      <c r="L22" t="s">
        <v>61</v>
      </c>
      <c r="M22" t="s">
        <v>456</v>
      </c>
      <c r="P22" s="214" t="s">
        <v>2521</v>
      </c>
      <c r="U22">
        <v>7</v>
      </c>
      <c r="V22" s="214">
        <v>46381</v>
      </c>
    </row>
    <row r="23" spans="1:22">
      <c r="A23" t="s">
        <v>7004</v>
      </c>
      <c r="B23" t="s">
        <v>65</v>
      </c>
      <c r="C23" t="s">
        <v>550</v>
      </c>
      <c r="D23" t="s">
        <v>551</v>
      </c>
      <c r="E23" t="s">
        <v>2151</v>
      </c>
      <c r="F23">
        <v>510</v>
      </c>
      <c r="G23">
        <v>3168</v>
      </c>
      <c r="H23">
        <v>1.61568</v>
      </c>
      <c r="I23">
        <v>88</v>
      </c>
      <c r="J23">
        <v>4</v>
      </c>
      <c r="K23" t="s">
        <v>2471</v>
      </c>
      <c r="L23" t="s">
        <v>122</v>
      </c>
      <c r="M23" t="s">
        <v>78</v>
      </c>
      <c r="P23" s="214" t="s">
        <v>2521</v>
      </c>
      <c r="U23">
        <v>8</v>
      </c>
      <c r="V23" s="214">
        <v>46365</v>
      </c>
    </row>
    <row r="24" spans="1:22">
      <c r="A24" t="s">
        <v>7005</v>
      </c>
      <c r="B24" t="s">
        <v>100</v>
      </c>
      <c r="C24" t="s">
        <v>550</v>
      </c>
      <c r="D24" t="s">
        <v>551</v>
      </c>
      <c r="E24" t="s">
        <v>2151</v>
      </c>
      <c r="F24">
        <v>510</v>
      </c>
      <c r="G24">
        <v>3168</v>
      </c>
      <c r="H24">
        <v>1.61568</v>
      </c>
      <c r="I24">
        <v>88</v>
      </c>
      <c r="J24">
        <v>4</v>
      </c>
      <c r="K24" t="s">
        <v>2471</v>
      </c>
      <c r="L24" t="s">
        <v>122</v>
      </c>
      <c r="M24" t="s">
        <v>105</v>
      </c>
      <c r="P24" s="214" t="s">
        <v>2521</v>
      </c>
      <c r="U24">
        <v>7</v>
      </c>
      <c r="V24" s="214">
        <v>46360</v>
      </c>
    </row>
    <row r="25" spans="1:22">
      <c r="A25" t="s">
        <v>7006</v>
      </c>
      <c r="B25" t="s">
        <v>310</v>
      </c>
      <c r="C25" t="s">
        <v>550</v>
      </c>
      <c r="D25" t="s">
        <v>551</v>
      </c>
      <c r="E25" t="s">
        <v>2151</v>
      </c>
      <c r="F25">
        <v>510</v>
      </c>
      <c r="G25">
        <v>792</v>
      </c>
      <c r="H25">
        <v>0.40392</v>
      </c>
      <c r="I25">
        <v>22</v>
      </c>
      <c r="J25">
        <v>1</v>
      </c>
      <c r="K25" t="s">
        <v>2471</v>
      </c>
      <c r="L25" t="s">
        <v>122</v>
      </c>
      <c r="M25" t="s">
        <v>314</v>
      </c>
      <c r="P25" s="214" t="s">
        <v>2521</v>
      </c>
      <c r="U25">
        <v>10</v>
      </c>
      <c r="V25" s="214">
        <v>46367</v>
      </c>
    </row>
    <row r="26" spans="1:22">
      <c r="A26" t="s">
        <v>7015</v>
      </c>
      <c r="B26" t="s">
        <v>310</v>
      </c>
      <c r="C26" t="s">
        <v>550</v>
      </c>
      <c r="D26" t="s">
        <v>2134</v>
      </c>
      <c r="E26" t="s">
        <v>2135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2471</v>
      </c>
      <c r="L26" t="s">
        <v>122</v>
      </c>
      <c r="M26" t="s">
        <v>1561</v>
      </c>
      <c r="P26" s="214" t="s">
        <v>2521</v>
      </c>
      <c r="U26">
        <v>10</v>
      </c>
      <c r="V26" s="214">
        <v>46367</v>
      </c>
    </row>
    <row r="27" spans="1:22">
      <c r="A27" t="s">
        <v>7017</v>
      </c>
      <c r="B27" t="s">
        <v>100</v>
      </c>
      <c r="C27" t="s">
        <v>550</v>
      </c>
      <c r="D27" t="s">
        <v>2134</v>
      </c>
      <c r="E27" t="s">
        <v>2135</v>
      </c>
      <c r="F27">
        <v>515</v>
      </c>
      <c r="G27">
        <v>3960</v>
      </c>
      <c r="H27">
        <v>2.0394000000000001</v>
      </c>
      <c r="I27">
        <v>110</v>
      </c>
      <c r="J27">
        <v>5</v>
      </c>
      <c r="K27" t="s">
        <v>2471</v>
      </c>
      <c r="L27" t="s">
        <v>122</v>
      </c>
      <c r="M27" t="s">
        <v>105</v>
      </c>
      <c r="P27" s="214" t="s">
        <v>2521</v>
      </c>
      <c r="U27">
        <v>7</v>
      </c>
      <c r="V27" s="214">
        <v>46360</v>
      </c>
    </row>
    <row r="28" spans="1:22">
      <c r="A28" t="s">
        <v>7014</v>
      </c>
      <c r="B28" t="s">
        <v>310</v>
      </c>
      <c r="C28" t="s">
        <v>550</v>
      </c>
      <c r="D28" t="s">
        <v>2134</v>
      </c>
      <c r="E28" t="s">
        <v>2135</v>
      </c>
      <c r="F28">
        <v>515</v>
      </c>
      <c r="G28">
        <v>3168</v>
      </c>
      <c r="H28">
        <v>1.6315200000000001</v>
      </c>
      <c r="I28">
        <v>88</v>
      </c>
      <c r="J28">
        <v>4</v>
      </c>
      <c r="K28" t="s">
        <v>2471</v>
      </c>
      <c r="L28" t="s">
        <v>122</v>
      </c>
      <c r="M28" t="s">
        <v>314</v>
      </c>
      <c r="P28" s="214" t="s">
        <v>2521</v>
      </c>
      <c r="U28">
        <v>10</v>
      </c>
      <c r="V28" s="214">
        <v>46367</v>
      </c>
    </row>
    <row r="29" spans="1:22">
      <c r="A29" t="s">
        <v>7039</v>
      </c>
      <c r="B29" t="s">
        <v>100</v>
      </c>
      <c r="C29" t="s">
        <v>132</v>
      </c>
      <c r="D29" t="s">
        <v>1062</v>
      </c>
      <c r="E29" t="s">
        <v>1063</v>
      </c>
      <c r="F29">
        <v>470</v>
      </c>
      <c r="G29">
        <v>864</v>
      </c>
      <c r="H29">
        <v>0.40608</v>
      </c>
      <c r="I29">
        <v>24</v>
      </c>
      <c r="J29">
        <v>1</v>
      </c>
      <c r="K29" t="s">
        <v>2470</v>
      </c>
      <c r="L29" t="s">
        <v>5992</v>
      </c>
      <c r="M29" t="s">
        <v>105</v>
      </c>
      <c r="N29" s="214">
        <v>46282</v>
      </c>
      <c r="P29" s="214" t="s">
        <v>2521</v>
      </c>
      <c r="Q29" s="214">
        <v>46315</v>
      </c>
      <c r="U29">
        <v>7</v>
      </c>
      <c r="V29" s="214">
        <v>46322</v>
      </c>
    </row>
    <row r="30" spans="1:22">
      <c r="A30" t="s">
        <v>6745</v>
      </c>
      <c r="B30" t="s">
        <v>65</v>
      </c>
      <c r="C30" t="s">
        <v>550</v>
      </c>
      <c r="D30" t="s">
        <v>551</v>
      </c>
      <c r="E30" t="s">
        <v>2151</v>
      </c>
      <c r="F30">
        <v>510</v>
      </c>
      <c r="G30">
        <v>3168</v>
      </c>
      <c r="H30">
        <v>1.61568</v>
      </c>
      <c r="I30">
        <v>88</v>
      </c>
      <c r="J30">
        <v>4</v>
      </c>
      <c r="K30" t="s">
        <v>2470</v>
      </c>
      <c r="L30" t="s">
        <v>122</v>
      </c>
      <c r="M30" t="s">
        <v>78</v>
      </c>
      <c r="N30" s="214">
        <v>46292</v>
      </c>
      <c r="P30" s="214" t="s">
        <v>2521</v>
      </c>
      <c r="Q30" s="214">
        <v>46342</v>
      </c>
      <c r="U30">
        <v>8</v>
      </c>
      <c r="V30" s="214">
        <v>46350</v>
      </c>
    </row>
    <row r="31" spans="1:22">
      <c r="A31" t="s">
        <v>7011</v>
      </c>
      <c r="B31" t="s">
        <v>100</v>
      </c>
      <c r="C31" t="s">
        <v>550</v>
      </c>
      <c r="D31" t="s">
        <v>2134</v>
      </c>
      <c r="E31" t="s">
        <v>2135</v>
      </c>
      <c r="F31">
        <v>515</v>
      </c>
      <c r="G31">
        <v>4752</v>
      </c>
      <c r="H31">
        <v>2.4472800000000001</v>
      </c>
      <c r="I31">
        <v>132</v>
      </c>
      <c r="J31">
        <v>6</v>
      </c>
      <c r="K31" t="s">
        <v>2470</v>
      </c>
      <c r="L31" t="s">
        <v>122</v>
      </c>
      <c r="M31" t="s">
        <v>105</v>
      </c>
      <c r="P31" s="214" t="s">
        <v>2521</v>
      </c>
      <c r="U31">
        <v>7</v>
      </c>
      <c r="V31" s="214">
        <v>46353</v>
      </c>
    </row>
    <row r="32" spans="1:22">
      <c r="A32" t="s">
        <v>7043</v>
      </c>
      <c r="B32" t="s">
        <v>65</v>
      </c>
      <c r="C32" t="s">
        <v>4526</v>
      </c>
      <c r="D32" t="s">
        <v>1151</v>
      </c>
      <c r="E32" t="s">
        <v>421</v>
      </c>
      <c r="F32">
        <v>505</v>
      </c>
      <c r="G32">
        <v>5184</v>
      </c>
      <c r="H32">
        <v>2.6179199999999998</v>
      </c>
      <c r="I32">
        <v>144</v>
      </c>
      <c r="J32">
        <v>6</v>
      </c>
      <c r="K32" t="s">
        <v>2470</v>
      </c>
      <c r="L32" t="s">
        <v>61</v>
      </c>
      <c r="M32" t="s">
        <v>78</v>
      </c>
      <c r="P32" s="214" t="s">
        <v>2521</v>
      </c>
      <c r="U32">
        <v>8</v>
      </c>
      <c r="V32" s="214">
        <v>46372</v>
      </c>
    </row>
    <row r="33" spans="1:22">
      <c r="A33" t="s">
        <v>7009</v>
      </c>
      <c r="B33" t="s">
        <v>310</v>
      </c>
      <c r="C33" t="s">
        <v>550</v>
      </c>
      <c r="D33" t="s">
        <v>2134</v>
      </c>
      <c r="E33" t="s">
        <v>2135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2470</v>
      </c>
      <c r="L33" t="s">
        <v>122</v>
      </c>
      <c r="M33" t="s">
        <v>1561</v>
      </c>
      <c r="P33" s="214" t="s">
        <v>2521</v>
      </c>
      <c r="U33">
        <v>10</v>
      </c>
      <c r="V33" s="214">
        <v>46360</v>
      </c>
    </row>
    <row r="34" spans="1:22">
      <c r="A34" t="s">
        <v>6674</v>
      </c>
      <c r="B34" t="s">
        <v>100</v>
      </c>
      <c r="C34" t="s">
        <v>132</v>
      </c>
      <c r="D34" t="s">
        <v>1062</v>
      </c>
      <c r="E34" t="s">
        <v>1063</v>
      </c>
      <c r="F34">
        <v>470</v>
      </c>
      <c r="G34">
        <v>1728</v>
      </c>
      <c r="H34">
        <v>0.81215999999999999</v>
      </c>
      <c r="I34">
        <v>48</v>
      </c>
      <c r="J34">
        <v>2</v>
      </c>
      <c r="K34" t="s">
        <v>2470</v>
      </c>
      <c r="L34" t="s">
        <v>123</v>
      </c>
      <c r="M34" t="s">
        <v>105</v>
      </c>
      <c r="N34" s="214">
        <v>46279</v>
      </c>
      <c r="P34" s="214" t="s">
        <v>2521</v>
      </c>
      <c r="Q34" s="214">
        <v>46319</v>
      </c>
      <c r="U34">
        <v>7</v>
      </c>
      <c r="V34" s="214">
        <v>46326</v>
      </c>
    </row>
    <row r="35" spans="1:22">
      <c r="A35" t="s">
        <v>6648</v>
      </c>
      <c r="B35" t="s">
        <v>65</v>
      </c>
      <c r="C35" t="s">
        <v>4526</v>
      </c>
      <c r="D35" t="s">
        <v>71</v>
      </c>
      <c r="E35" t="s">
        <v>72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2470</v>
      </c>
      <c r="L35" t="s">
        <v>61</v>
      </c>
      <c r="M35" t="s">
        <v>78</v>
      </c>
      <c r="U35">
        <v>8</v>
      </c>
      <c r="V35" s="214">
        <v>46372</v>
      </c>
    </row>
    <row r="36" spans="1:22">
      <c r="A36" t="s">
        <v>7003</v>
      </c>
      <c r="B36" t="s">
        <v>100</v>
      </c>
      <c r="C36" t="s">
        <v>550</v>
      </c>
      <c r="D36" t="s">
        <v>551</v>
      </c>
      <c r="E36" t="s">
        <v>2151</v>
      </c>
      <c r="F36">
        <v>510</v>
      </c>
      <c r="G36">
        <v>2376</v>
      </c>
      <c r="H36">
        <v>1.2117599999999999</v>
      </c>
      <c r="I36">
        <v>66</v>
      </c>
      <c r="J36">
        <v>3</v>
      </c>
      <c r="K36" t="s">
        <v>2470</v>
      </c>
      <c r="L36" t="s">
        <v>5992</v>
      </c>
      <c r="M36" t="s">
        <v>105</v>
      </c>
      <c r="P36" s="214" t="s">
        <v>2521</v>
      </c>
      <c r="U36">
        <v>7</v>
      </c>
      <c r="V36" s="214">
        <v>46353</v>
      </c>
    </row>
    <row r="37" spans="1:22">
      <c r="A37" t="s">
        <v>6763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1584</v>
      </c>
      <c r="H37">
        <v>0.80784</v>
      </c>
      <c r="I37">
        <v>44</v>
      </c>
      <c r="J37">
        <v>2</v>
      </c>
      <c r="K37" t="s">
        <v>2470</v>
      </c>
      <c r="L37" t="s">
        <v>122</v>
      </c>
      <c r="M37" t="s">
        <v>78</v>
      </c>
      <c r="U37">
        <v>8</v>
      </c>
      <c r="V37" s="214">
        <v>46358</v>
      </c>
    </row>
    <row r="38" spans="1:22">
      <c r="A38" t="s">
        <v>6668</v>
      </c>
      <c r="B38" t="s">
        <v>100</v>
      </c>
      <c r="C38" t="s">
        <v>132</v>
      </c>
      <c r="D38" t="s">
        <v>1062</v>
      </c>
      <c r="E38" t="s">
        <v>1063</v>
      </c>
      <c r="F38">
        <v>470</v>
      </c>
      <c r="G38">
        <v>4320</v>
      </c>
      <c r="H38">
        <v>2.0304000000000002</v>
      </c>
      <c r="I38">
        <v>120</v>
      </c>
      <c r="J38">
        <v>5</v>
      </c>
      <c r="K38" t="s">
        <v>2470</v>
      </c>
      <c r="L38" t="s">
        <v>123</v>
      </c>
      <c r="M38" t="s">
        <v>105</v>
      </c>
      <c r="N38" s="214">
        <v>46279</v>
      </c>
      <c r="Q38" s="214">
        <v>46319</v>
      </c>
      <c r="U38">
        <v>7</v>
      </c>
      <c r="V38" s="214">
        <v>46326</v>
      </c>
    </row>
    <row r="39" spans="1:22">
      <c r="A39" t="s">
        <v>7020</v>
      </c>
      <c r="B39" t="s">
        <v>100</v>
      </c>
      <c r="C39" t="s">
        <v>550</v>
      </c>
      <c r="D39" t="s">
        <v>2134</v>
      </c>
      <c r="E39" t="s">
        <v>2135</v>
      </c>
      <c r="F39">
        <v>515</v>
      </c>
      <c r="G39">
        <v>3960</v>
      </c>
      <c r="H39">
        <v>2.0394000000000001</v>
      </c>
      <c r="I39">
        <v>110</v>
      </c>
      <c r="J39">
        <v>5</v>
      </c>
      <c r="K39" t="s">
        <v>2469</v>
      </c>
      <c r="L39" t="s">
        <v>5992</v>
      </c>
      <c r="M39" t="s">
        <v>105</v>
      </c>
      <c r="P39" s="214" t="s">
        <v>2521</v>
      </c>
      <c r="U39">
        <v>7</v>
      </c>
      <c r="V39" s="214">
        <v>46346</v>
      </c>
    </row>
    <row r="40" spans="1:22">
      <c r="A40" t="s">
        <v>7054</v>
      </c>
      <c r="B40" t="s">
        <v>450</v>
      </c>
      <c r="C40" t="s">
        <v>4526</v>
      </c>
      <c r="D40" t="s">
        <v>7049</v>
      </c>
      <c r="E40" t="s">
        <v>7050</v>
      </c>
      <c r="F40">
        <v>505</v>
      </c>
      <c r="G40">
        <v>2592</v>
      </c>
      <c r="H40">
        <v>1.3089599999999999</v>
      </c>
      <c r="I40">
        <v>72</v>
      </c>
      <c r="J40">
        <v>3</v>
      </c>
      <c r="K40" t="s">
        <v>2469</v>
      </c>
      <c r="L40" t="s">
        <v>61</v>
      </c>
      <c r="M40" t="s">
        <v>456</v>
      </c>
      <c r="P40" s="214" t="s">
        <v>2521</v>
      </c>
      <c r="U40">
        <v>7</v>
      </c>
      <c r="V40" s="214">
        <v>46360</v>
      </c>
    </row>
    <row r="41" spans="1:22">
      <c r="A41" t="s">
        <v>7051</v>
      </c>
      <c r="B41" t="s">
        <v>450</v>
      </c>
      <c r="C41" t="s">
        <v>4526</v>
      </c>
      <c r="D41" t="s">
        <v>7049</v>
      </c>
      <c r="E41" t="s">
        <v>7050</v>
      </c>
      <c r="F41">
        <v>505</v>
      </c>
      <c r="G41">
        <v>2592</v>
      </c>
      <c r="H41">
        <v>1.3089599999999999</v>
      </c>
      <c r="I41">
        <v>72</v>
      </c>
      <c r="J41">
        <v>3</v>
      </c>
      <c r="K41" t="s">
        <v>2469</v>
      </c>
      <c r="L41" t="s">
        <v>61</v>
      </c>
      <c r="M41" t="s">
        <v>456</v>
      </c>
      <c r="P41" s="214" t="s">
        <v>2521</v>
      </c>
      <c r="U41">
        <v>7</v>
      </c>
      <c r="V41" s="214">
        <v>46360</v>
      </c>
    </row>
    <row r="42" spans="1:22">
      <c r="A42" t="s">
        <v>7018</v>
      </c>
      <c r="B42" t="s">
        <v>450</v>
      </c>
      <c r="C42" t="s">
        <v>550</v>
      </c>
      <c r="D42" t="s">
        <v>2134</v>
      </c>
      <c r="E42" t="s">
        <v>2135</v>
      </c>
      <c r="F42">
        <v>515</v>
      </c>
      <c r="G42">
        <v>1584</v>
      </c>
      <c r="H42">
        <v>0.81576000000000004</v>
      </c>
      <c r="I42">
        <v>44</v>
      </c>
      <c r="J42">
        <v>2</v>
      </c>
      <c r="K42" t="s">
        <v>2469</v>
      </c>
      <c r="L42" t="s">
        <v>122</v>
      </c>
      <c r="M42" t="s">
        <v>456</v>
      </c>
      <c r="P42" s="214" t="s">
        <v>2521</v>
      </c>
      <c r="U42">
        <v>7</v>
      </c>
      <c r="V42" s="214">
        <v>46346</v>
      </c>
    </row>
    <row r="43" spans="1:22">
      <c r="A43" t="s">
        <v>6956</v>
      </c>
      <c r="B43" t="s">
        <v>100</v>
      </c>
      <c r="C43" t="s">
        <v>4526</v>
      </c>
      <c r="D43" t="s">
        <v>6207</v>
      </c>
      <c r="E43" t="s">
        <v>330</v>
      </c>
      <c r="F43">
        <v>625</v>
      </c>
      <c r="G43">
        <v>720</v>
      </c>
      <c r="H43">
        <v>0.45</v>
      </c>
      <c r="I43">
        <v>20</v>
      </c>
      <c r="J43">
        <v>1</v>
      </c>
      <c r="K43" t="s">
        <v>2469</v>
      </c>
      <c r="L43" t="s">
        <v>5992</v>
      </c>
      <c r="M43" t="s">
        <v>105</v>
      </c>
      <c r="N43" s="214">
        <v>46282</v>
      </c>
      <c r="P43" s="214" t="s">
        <v>2521</v>
      </c>
      <c r="Q43" s="214">
        <v>46315</v>
      </c>
      <c r="U43">
        <v>7</v>
      </c>
      <c r="V43" s="214">
        <v>46322</v>
      </c>
    </row>
    <row r="44" spans="1:22">
      <c r="A44" t="s">
        <v>6643</v>
      </c>
      <c r="B44" t="s">
        <v>65</v>
      </c>
      <c r="C44" t="s">
        <v>4526</v>
      </c>
      <c r="D44" t="s">
        <v>71</v>
      </c>
      <c r="E44" t="s">
        <v>72</v>
      </c>
      <c r="F44">
        <v>500</v>
      </c>
      <c r="G44">
        <v>5184</v>
      </c>
      <c r="H44">
        <v>2.5920000000000001</v>
      </c>
      <c r="I44">
        <v>144</v>
      </c>
      <c r="J44">
        <v>6</v>
      </c>
      <c r="K44" t="s">
        <v>2469</v>
      </c>
      <c r="L44" t="s">
        <v>61</v>
      </c>
      <c r="M44" t="s">
        <v>78</v>
      </c>
      <c r="U44">
        <v>8</v>
      </c>
      <c r="V44" s="214">
        <v>46365</v>
      </c>
    </row>
    <row r="45" spans="1:22">
      <c r="A45" t="s">
        <v>6748</v>
      </c>
      <c r="B45" t="s">
        <v>114</v>
      </c>
      <c r="C45" t="s">
        <v>4526</v>
      </c>
      <c r="D45" t="s">
        <v>6207</v>
      </c>
      <c r="E45" t="s">
        <v>330</v>
      </c>
      <c r="F45">
        <v>625</v>
      </c>
      <c r="G45">
        <v>720</v>
      </c>
      <c r="H45">
        <v>0.45</v>
      </c>
      <c r="I45">
        <v>20</v>
      </c>
      <c r="J45">
        <v>1</v>
      </c>
      <c r="K45" t="s">
        <v>2469</v>
      </c>
      <c r="L45" t="s">
        <v>122</v>
      </c>
      <c r="M45" t="s">
        <v>124</v>
      </c>
      <c r="N45" s="214">
        <v>46292</v>
      </c>
      <c r="P45" s="214" t="s">
        <v>2521</v>
      </c>
      <c r="Q45" s="214">
        <v>46345</v>
      </c>
      <c r="U45">
        <v>9</v>
      </c>
      <c r="V45" s="214">
        <v>46354</v>
      </c>
    </row>
    <row r="46" spans="1:22">
      <c r="A46" t="s">
        <v>6736</v>
      </c>
      <c r="B46" t="s">
        <v>310</v>
      </c>
      <c r="C46" t="s">
        <v>550</v>
      </c>
      <c r="D46" t="s">
        <v>2134</v>
      </c>
      <c r="E46" t="s">
        <v>2135</v>
      </c>
      <c r="F46">
        <v>515</v>
      </c>
      <c r="G46">
        <v>3168</v>
      </c>
      <c r="H46">
        <v>1.6315200000000001</v>
      </c>
      <c r="I46">
        <v>88</v>
      </c>
      <c r="J46">
        <v>4</v>
      </c>
      <c r="K46" t="s">
        <v>2469</v>
      </c>
      <c r="L46" t="s">
        <v>122</v>
      </c>
      <c r="M46" t="s">
        <v>314</v>
      </c>
      <c r="N46" s="214">
        <v>46292</v>
      </c>
      <c r="P46" s="214" t="s">
        <v>2521</v>
      </c>
      <c r="Q46" s="214">
        <v>46337</v>
      </c>
      <c r="U46">
        <v>10</v>
      </c>
      <c r="V46" s="214">
        <v>46347</v>
      </c>
    </row>
    <row r="47" spans="1:22">
      <c r="A47" t="s">
        <v>6732</v>
      </c>
      <c r="B47" t="s">
        <v>100</v>
      </c>
      <c r="C47" t="s">
        <v>4526</v>
      </c>
      <c r="D47" t="s">
        <v>6207</v>
      </c>
      <c r="E47" t="s">
        <v>330</v>
      </c>
      <c r="F47">
        <v>625</v>
      </c>
      <c r="G47">
        <v>3600</v>
      </c>
      <c r="H47">
        <v>2.25</v>
      </c>
      <c r="I47">
        <v>100</v>
      </c>
      <c r="J47">
        <v>5</v>
      </c>
      <c r="K47" t="s">
        <v>2469</v>
      </c>
      <c r="L47" t="s">
        <v>122</v>
      </c>
      <c r="M47" t="s">
        <v>105</v>
      </c>
      <c r="N47" s="214">
        <v>46287</v>
      </c>
      <c r="P47" s="214" t="s">
        <v>2521</v>
      </c>
      <c r="Q47" s="214">
        <v>46323</v>
      </c>
      <c r="U47">
        <v>7</v>
      </c>
      <c r="V47" s="214">
        <v>46330</v>
      </c>
    </row>
    <row r="48" spans="1:22">
      <c r="A48" t="s">
        <v>6910</v>
      </c>
      <c r="B48" t="s">
        <v>100</v>
      </c>
      <c r="C48" t="s">
        <v>132</v>
      </c>
      <c r="D48" t="s">
        <v>1062</v>
      </c>
      <c r="E48" t="s">
        <v>1063</v>
      </c>
      <c r="F48">
        <v>470</v>
      </c>
      <c r="G48">
        <v>2592</v>
      </c>
      <c r="H48">
        <v>1.21824</v>
      </c>
      <c r="I48">
        <v>72</v>
      </c>
      <c r="J48">
        <v>3</v>
      </c>
      <c r="K48" t="s">
        <v>2469</v>
      </c>
      <c r="L48" t="s">
        <v>5992</v>
      </c>
      <c r="M48" t="s">
        <v>105</v>
      </c>
      <c r="N48" s="214">
        <v>46284</v>
      </c>
      <c r="P48" s="214" t="s">
        <v>2521</v>
      </c>
      <c r="Q48" s="214">
        <v>46318</v>
      </c>
      <c r="U48">
        <v>7</v>
      </c>
      <c r="V48" s="214">
        <v>46325</v>
      </c>
    </row>
    <row r="49" spans="1:22">
      <c r="A49" t="s">
        <v>6914</v>
      </c>
      <c r="B49" t="s">
        <v>100</v>
      </c>
      <c r="C49" t="s">
        <v>132</v>
      </c>
      <c r="D49" t="s">
        <v>1062</v>
      </c>
      <c r="E49" t="s">
        <v>1063</v>
      </c>
      <c r="F49">
        <v>470</v>
      </c>
      <c r="G49">
        <v>864</v>
      </c>
      <c r="H49">
        <v>0.40608</v>
      </c>
      <c r="I49">
        <v>24</v>
      </c>
      <c r="J49">
        <v>1</v>
      </c>
      <c r="K49" t="s">
        <v>2469</v>
      </c>
      <c r="L49" t="s">
        <v>5992</v>
      </c>
      <c r="M49" t="s">
        <v>105</v>
      </c>
      <c r="N49" s="214">
        <v>46287</v>
      </c>
      <c r="P49" s="214" t="s">
        <v>2521</v>
      </c>
      <c r="Q49" s="214">
        <v>46319</v>
      </c>
      <c r="U49">
        <v>7</v>
      </c>
      <c r="V49" s="214">
        <v>46326</v>
      </c>
    </row>
    <row r="50" spans="1:22">
      <c r="A50" t="s">
        <v>6857</v>
      </c>
      <c r="B50" t="s">
        <v>65</v>
      </c>
      <c r="C50" t="s">
        <v>4526</v>
      </c>
      <c r="D50" t="s">
        <v>706</v>
      </c>
      <c r="E50" t="s">
        <v>707</v>
      </c>
      <c r="F50">
        <v>500</v>
      </c>
      <c r="G50">
        <v>864</v>
      </c>
      <c r="H50">
        <v>0.432</v>
      </c>
      <c r="I50">
        <v>24</v>
      </c>
      <c r="J50">
        <v>1</v>
      </c>
      <c r="K50" t="s">
        <v>2468</v>
      </c>
      <c r="L50" t="s">
        <v>5992</v>
      </c>
      <c r="M50" t="s">
        <v>78</v>
      </c>
      <c r="N50" s="214">
        <v>46282</v>
      </c>
      <c r="P50" s="214" t="s">
        <v>2521</v>
      </c>
      <c r="Q50" s="214">
        <v>46328</v>
      </c>
      <c r="U50">
        <v>8</v>
      </c>
      <c r="V50" s="214">
        <v>46336</v>
      </c>
    </row>
    <row r="51" spans="1:22">
      <c r="A51" t="s">
        <v>6741</v>
      </c>
      <c r="B51" t="s">
        <v>65</v>
      </c>
      <c r="C51" t="s">
        <v>4526</v>
      </c>
      <c r="D51" t="s">
        <v>706</v>
      </c>
      <c r="E51" t="s">
        <v>707</v>
      </c>
      <c r="F51">
        <v>500</v>
      </c>
      <c r="G51">
        <v>3456</v>
      </c>
      <c r="H51">
        <v>1.728</v>
      </c>
      <c r="I51">
        <v>96</v>
      </c>
      <c r="J51">
        <v>4</v>
      </c>
      <c r="K51" t="s">
        <v>2468</v>
      </c>
      <c r="L51" t="s">
        <v>123</v>
      </c>
      <c r="M51" t="s">
        <v>78</v>
      </c>
      <c r="N51" s="214">
        <v>46288</v>
      </c>
      <c r="P51" s="214" t="s">
        <v>2521</v>
      </c>
      <c r="Q51" s="214">
        <v>46330</v>
      </c>
      <c r="U51">
        <v>8</v>
      </c>
      <c r="V51" s="214">
        <v>46338.25</v>
      </c>
    </row>
    <row r="52" spans="1:22">
      <c r="A52" t="s">
        <v>6907</v>
      </c>
      <c r="B52" t="s">
        <v>100</v>
      </c>
      <c r="C52" t="s">
        <v>4526</v>
      </c>
      <c r="D52" t="s">
        <v>965</v>
      </c>
      <c r="E52" t="s">
        <v>966</v>
      </c>
      <c r="F52">
        <v>455</v>
      </c>
      <c r="G52">
        <v>3744</v>
      </c>
      <c r="H52">
        <v>1.7035199999999999</v>
      </c>
      <c r="I52">
        <v>104</v>
      </c>
      <c r="J52">
        <v>4</v>
      </c>
      <c r="K52" t="s">
        <v>2468</v>
      </c>
      <c r="L52" t="s">
        <v>5992</v>
      </c>
      <c r="M52" t="s">
        <v>105</v>
      </c>
      <c r="N52" s="214">
        <v>46287</v>
      </c>
      <c r="P52" s="214" t="s">
        <v>2521</v>
      </c>
      <c r="Q52" s="214">
        <v>46319</v>
      </c>
      <c r="U52">
        <v>7</v>
      </c>
      <c r="V52" s="214">
        <v>46326</v>
      </c>
    </row>
    <row r="53" spans="1:22">
      <c r="A53" t="s">
        <v>6681</v>
      </c>
      <c r="B53" t="s">
        <v>100</v>
      </c>
      <c r="C53" t="s">
        <v>132</v>
      </c>
      <c r="D53" t="s">
        <v>1062</v>
      </c>
      <c r="E53" t="s">
        <v>1063</v>
      </c>
      <c r="F53">
        <v>470</v>
      </c>
      <c r="G53">
        <v>3456</v>
      </c>
      <c r="H53">
        <v>1.62432</v>
      </c>
      <c r="I53">
        <v>96</v>
      </c>
      <c r="J53">
        <v>4</v>
      </c>
      <c r="K53" t="s">
        <v>2468</v>
      </c>
      <c r="L53" t="s">
        <v>123</v>
      </c>
      <c r="M53" t="s">
        <v>105</v>
      </c>
      <c r="N53" s="214">
        <v>46279</v>
      </c>
      <c r="P53" s="214" t="s">
        <v>2521</v>
      </c>
      <c r="Q53" s="214">
        <v>46319</v>
      </c>
      <c r="U53">
        <v>7</v>
      </c>
      <c r="V53" s="214">
        <v>46326</v>
      </c>
    </row>
    <row r="54" spans="1:22">
      <c r="A54" t="s">
        <v>6675</v>
      </c>
      <c r="B54" t="s">
        <v>100</v>
      </c>
      <c r="C54" t="s">
        <v>70</v>
      </c>
      <c r="D54" t="s">
        <v>5744</v>
      </c>
      <c r="E54" t="s">
        <v>1484</v>
      </c>
      <c r="F54">
        <v>725</v>
      </c>
      <c r="G54">
        <v>2970</v>
      </c>
      <c r="H54">
        <v>2.1532499999999999</v>
      </c>
      <c r="I54">
        <v>90</v>
      </c>
      <c r="J54">
        <v>5</v>
      </c>
      <c r="K54" t="s">
        <v>2468</v>
      </c>
      <c r="L54" t="s">
        <v>123</v>
      </c>
      <c r="M54" t="s">
        <v>105</v>
      </c>
      <c r="N54" s="214">
        <v>46279</v>
      </c>
      <c r="P54" s="214" t="s">
        <v>2521</v>
      </c>
      <c r="Q54" s="214">
        <v>46319</v>
      </c>
      <c r="U54">
        <v>7</v>
      </c>
      <c r="V54" s="214">
        <v>46326</v>
      </c>
    </row>
    <row r="55" spans="1:22">
      <c r="A55" t="s">
        <v>6944</v>
      </c>
      <c r="B55" t="s">
        <v>100</v>
      </c>
      <c r="C55" t="s">
        <v>550</v>
      </c>
      <c r="D55" t="s">
        <v>2134</v>
      </c>
      <c r="E55" t="s">
        <v>2135</v>
      </c>
      <c r="F55">
        <v>515</v>
      </c>
      <c r="G55">
        <v>792</v>
      </c>
      <c r="H55">
        <v>0.40788000000000002</v>
      </c>
      <c r="I55">
        <v>22</v>
      </c>
      <c r="J55">
        <v>1</v>
      </c>
      <c r="K55" t="s">
        <v>2468</v>
      </c>
      <c r="L55" t="s">
        <v>123</v>
      </c>
      <c r="M55" t="s">
        <v>105</v>
      </c>
      <c r="P55" s="214" t="s">
        <v>2521</v>
      </c>
      <c r="U55">
        <v>7</v>
      </c>
      <c r="V55" s="214">
        <v>46339</v>
      </c>
    </row>
    <row r="56" spans="1:22">
      <c r="A56" t="s">
        <v>6946</v>
      </c>
      <c r="B56" t="s">
        <v>100</v>
      </c>
      <c r="C56" t="s">
        <v>4526</v>
      </c>
      <c r="D56" t="s">
        <v>1151</v>
      </c>
      <c r="E56" t="s">
        <v>421</v>
      </c>
      <c r="F56">
        <v>505</v>
      </c>
      <c r="G56">
        <v>2592</v>
      </c>
      <c r="H56">
        <v>1.3089599999999999</v>
      </c>
      <c r="I56">
        <v>72</v>
      </c>
      <c r="J56">
        <v>3</v>
      </c>
      <c r="K56" t="s">
        <v>2468</v>
      </c>
      <c r="L56" t="s">
        <v>61</v>
      </c>
      <c r="M56" t="s">
        <v>105</v>
      </c>
      <c r="P56" s="214" t="s">
        <v>2521</v>
      </c>
      <c r="U56">
        <v>7</v>
      </c>
      <c r="V56" s="214">
        <v>46360</v>
      </c>
    </row>
    <row r="57" spans="1:22">
      <c r="A57" t="s">
        <v>6645</v>
      </c>
      <c r="B57" t="s">
        <v>65</v>
      </c>
      <c r="C57" t="s">
        <v>4526</v>
      </c>
      <c r="D57" t="s">
        <v>71</v>
      </c>
      <c r="E57" t="s">
        <v>72</v>
      </c>
      <c r="F57">
        <v>500</v>
      </c>
      <c r="G57">
        <v>2592</v>
      </c>
      <c r="H57">
        <v>1.296</v>
      </c>
      <c r="I57">
        <v>72</v>
      </c>
      <c r="J57">
        <v>3</v>
      </c>
      <c r="K57" t="s">
        <v>2468</v>
      </c>
      <c r="L57" t="s">
        <v>61</v>
      </c>
      <c r="M57" t="s">
        <v>78</v>
      </c>
      <c r="U57">
        <v>8</v>
      </c>
      <c r="V57" s="214">
        <v>46358</v>
      </c>
    </row>
    <row r="58" spans="1:22">
      <c r="A58" t="s">
        <v>6762</v>
      </c>
      <c r="B58" t="s">
        <v>65</v>
      </c>
      <c r="C58" t="s">
        <v>4526</v>
      </c>
      <c r="D58" t="s">
        <v>706</v>
      </c>
      <c r="E58" t="s">
        <v>707</v>
      </c>
      <c r="F58">
        <v>500</v>
      </c>
      <c r="G58">
        <v>864</v>
      </c>
      <c r="H58">
        <v>0.432</v>
      </c>
      <c r="I58">
        <v>24</v>
      </c>
      <c r="J58">
        <v>1</v>
      </c>
      <c r="K58" t="s">
        <v>2468</v>
      </c>
      <c r="L58" t="s">
        <v>123</v>
      </c>
      <c r="M58" t="s">
        <v>78</v>
      </c>
      <c r="U58">
        <v>8</v>
      </c>
      <c r="V58" s="214">
        <v>46344</v>
      </c>
    </row>
    <row r="59" spans="1:22">
      <c r="A59" t="s">
        <v>6950</v>
      </c>
      <c r="B59" t="s">
        <v>65</v>
      </c>
      <c r="C59" t="s">
        <v>4526</v>
      </c>
      <c r="D59" t="s">
        <v>691</v>
      </c>
      <c r="E59" t="s">
        <v>692</v>
      </c>
      <c r="F59">
        <v>505</v>
      </c>
      <c r="G59">
        <v>1728</v>
      </c>
      <c r="H59">
        <v>0.87263999999999997</v>
      </c>
      <c r="I59">
        <v>48</v>
      </c>
      <c r="J59">
        <v>2</v>
      </c>
      <c r="K59" t="s">
        <v>2468</v>
      </c>
      <c r="L59" t="s">
        <v>61</v>
      </c>
      <c r="M59" t="s">
        <v>78</v>
      </c>
      <c r="N59" s="214">
        <v>46284</v>
      </c>
      <c r="P59" s="214" t="s">
        <v>2521</v>
      </c>
      <c r="Q59" s="214">
        <v>46344</v>
      </c>
      <c r="U59">
        <v>8</v>
      </c>
      <c r="V59" s="214">
        <v>46352.25</v>
      </c>
    </row>
    <row r="60" spans="1:22">
      <c r="A60" t="s">
        <v>6679</v>
      </c>
      <c r="B60" t="s">
        <v>100</v>
      </c>
      <c r="C60" t="s">
        <v>5374</v>
      </c>
      <c r="D60" t="s">
        <v>6652</v>
      </c>
      <c r="E60" t="s">
        <v>6653</v>
      </c>
      <c r="F60">
        <v>475</v>
      </c>
      <c r="G60">
        <v>936</v>
      </c>
      <c r="H60">
        <v>0.4446</v>
      </c>
      <c r="I60">
        <v>26</v>
      </c>
      <c r="J60">
        <v>1</v>
      </c>
      <c r="K60" t="s">
        <v>2467</v>
      </c>
      <c r="L60" t="s">
        <v>123</v>
      </c>
      <c r="M60" t="s">
        <v>105</v>
      </c>
      <c r="N60" s="214">
        <v>46279</v>
      </c>
      <c r="P60" s="214" t="s">
        <v>2521</v>
      </c>
      <c r="Q60" s="214">
        <v>46319</v>
      </c>
      <c r="U60">
        <v>7</v>
      </c>
      <c r="V60" s="214">
        <v>46326</v>
      </c>
    </row>
    <row r="61" spans="1:22">
      <c r="A61" t="s">
        <v>6672</v>
      </c>
      <c r="B61" t="s">
        <v>100</v>
      </c>
      <c r="C61" t="s">
        <v>5374</v>
      </c>
      <c r="D61" t="s">
        <v>6652</v>
      </c>
      <c r="E61" t="s">
        <v>6653</v>
      </c>
      <c r="F61">
        <v>475</v>
      </c>
      <c r="G61">
        <v>2808</v>
      </c>
      <c r="H61">
        <v>1.3338000000000001</v>
      </c>
      <c r="I61">
        <v>78</v>
      </c>
      <c r="J61">
        <v>3</v>
      </c>
      <c r="K61" t="s">
        <v>2467</v>
      </c>
      <c r="L61" t="s">
        <v>123</v>
      </c>
      <c r="M61" t="s">
        <v>105</v>
      </c>
      <c r="N61" s="214">
        <v>46279</v>
      </c>
      <c r="P61" s="214" t="s">
        <v>2521</v>
      </c>
      <c r="Q61" s="214">
        <v>46319</v>
      </c>
      <c r="U61">
        <v>7</v>
      </c>
      <c r="V61" s="214">
        <v>46326</v>
      </c>
    </row>
    <row r="62" spans="1:22">
      <c r="A62" t="s">
        <v>6656</v>
      </c>
      <c r="B62" t="s">
        <v>100</v>
      </c>
      <c r="C62" t="s">
        <v>5374</v>
      </c>
      <c r="D62" t="s">
        <v>6652</v>
      </c>
      <c r="E62" t="s">
        <v>6653</v>
      </c>
      <c r="F62">
        <v>475</v>
      </c>
      <c r="G62">
        <v>936</v>
      </c>
      <c r="H62">
        <v>0.4446</v>
      </c>
      <c r="I62">
        <v>26</v>
      </c>
      <c r="J62">
        <v>1</v>
      </c>
      <c r="K62" t="s">
        <v>2467</v>
      </c>
      <c r="L62" t="s">
        <v>5992</v>
      </c>
      <c r="M62" t="s">
        <v>105</v>
      </c>
      <c r="N62" s="214">
        <v>46282</v>
      </c>
      <c r="Q62" s="214">
        <v>46315</v>
      </c>
      <c r="U62">
        <v>7</v>
      </c>
      <c r="V62" s="214">
        <v>46322</v>
      </c>
    </row>
    <row r="63" spans="1:22">
      <c r="A63" t="s">
        <v>6651</v>
      </c>
      <c r="B63" t="s">
        <v>100</v>
      </c>
      <c r="C63" t="s">
        <v>5374</v>
      </c>
      <c r="D63" t="s">
        <v>6652</v>
      </c>
      <c r="E63" t="s">
        <v>6653</v>
      </c>
      <c r="F63">
        <v>475</v>
      </c>
      <c r="G63">
        <v>4680</v>
      </c>
      <c r="H63">
        <v>2.2229999999999999</v>
      </c>
      <c r="I63">
        <v>130</v>
      </c>
      <c r="J63">
        <v>5</v>
      </c>
      <c r="K63" t="s">
        <v>2467</v>
      </c>
      <c r="L63" t="s">
        <v>5992</v>
      </c>
      <c r="M63" t="s">
        <v>105</v>
      </c>
      <c r="N63" s="214">
        <v>46280</v>
      </c>
      <c r="Q63" s="214">
        <v>46313</v>
      </c>
      <c r="U63">
        <v>7</v>
      </c>
      <c r="V63" s="214">
        <v>46320</v>
      </c>
    </row>
    <row r="64" spans="1:22">
      <c r="A64" t="s">
        <v>6842</v>
      </c>
      <c r="B64" t="s">
        <v>100</v>
      </c>
      <c r="C64" t="s">
        <v>284</v>
      </c>
      <c r="D64" t="s">
        <v>6157</v>
      </c>
      <c r="E64" t="s">
        <v>1570</v>
      </c>
      <c r="F64">
        <v>650</v>
      </c>
      <c r="G64">
        <v>5760</v>
      </c>
      <c r="H64">
        <v>3.7440000000000002</v>
      </c>
      <c r="I64">
        <v>160</v>
      </c>
      <c r="J64">
        <v>8</v>
      </c>
      <c r="K64" t="s">
        <v>2467</v>
      </c>
      <c r="L64" t="s">
        <v>61</v>
      </c>
      <c r="M64" t="s">
        <v>105</v>
      </c>
      <c r="N64" s="214">
        <v>46284</v>
      </c>
      <c r="P64" s="214" t="s">
        <v>2521</v>
      </c>
      <c r="Q64" s="214">
        <v>46329</v>
      </c>
      <c r="U64">
        <v>7</v>
      </c>
      <c r="V64" s="214">
        <v>46336</v>
      </c>
    </row>
    <row r="65" spans="1:22">
      <c r="A65" t="s">
        <v>6948</v>
      </c>
      <c r="B65" t="s">
        <v>65</v>
      </c>
      <c r="C65" t="s">
        <v>4526</v>
      </c>
      <c r="D65" t="s">
        <v>706</v>
      </c>
      <c r="E65" t="s">
        <v>707</v>
      </c>
      <c r="F65">
        <v>500</v>
      </c>
      <c r="G65">
        <v>4320</v>
      </c>
      <c r="H65">
        <v>2.16</v>
      </c>
      <c r="I65">
        <v>120</v>
      </c>
      <c r="J65">
        <v>5</v>
      </c>
      <c r="K65" t="s">
        <v>2467</v>
      </c>
      <c r="L65" t="s">
        <v>61</v>
      </c>
      <c r="M65" t="s">
        <v>78</v>
      </c>
      <c r="P65" s="214" t="s">
        <v>2521</v>
      </c>
      <c r="U65">
        <v>8</v>
      </c>
      <c r="V65" s="214">
        <v>46351</v>
      </c>
    </row>
    <row r="66" spans="1:22">
      <c r="A66" t="s">
        <v>6906</v>
      </c>
      <c r="B66" t="s">
        <v>100</v>
      </c>
      <c r="C66" t="s">
        <v>284</v>
      </c>
      <c r="D66" t="s">
        <v>5340</v>
      </c>
      <c r="E66" t="s">
        <v>5341</v>
      </c>
      <c r="F66">
        <v>655</v>
      </c>
      <c r="G66">
        <v>2880</v>
      </c>
      <c r="H66">
        <v>1.8864000000000001</v>
      </c>
      <c r="I66">
        <v>80</v>
      </c>
      <c r="J66">
        <v>4</v>
      </c>
      <c r="K66" t="s">
        <v>2467</v>
      </c>
      <c r="L66" t="s">
        <v>61</v>
      </c>
      <c r="M66" t="s">
        <v>105</v>
      </c>
      <c r="P66" s="214" t="s">
        <v>2521</v>
      </c>
      <c r="U66">
        <v>7</v>
      </c>
      <c r="V66" s="214">
        <v>46353</v>
      </c>
    </row>
    <row r="67" spans="1:22">
      <c r="A67" t="s">
        <v>6846</v>
      </c>
      <c r="B67" t="s">
        <v>100</v>
      </c>
      <c r="C67" t="s">
        <v>284</v>
      </c>
      <c r="D67" t="s">
        <v>6157</v>
      </c>
      <c r="E67" t="s">
        <v>1570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2467</v>
      </c>
      <c r="L67" t="s">
        <v>61</v>
      </c>
      <c r="M67" t="s">
        <v>105</v>
      </c>
      <c r="P67" s="214" t="s">
        <v>2521</v>
      </c>
      <c r="U67">
        <v>7</v>
      </c>
      <c r="V67" s="214">
        <v>46353</v>
      </c>
    </row>
    <row r="68" spans="1:22">
      <c r="A68" t="s">
        <v>6854</v>
      </c>
      <c r="B68" t="s">
        <v>65</v>
      </c>
      <c r="C68" t="s">
        <v>4526</v>
      </c>
      <c r="D68" t="s">
        <v>691</v>
      </c>
      <c r="E68" t="s">
        <v>692</v>
      </c>
      <c r="F68">
        <v>505</v>
      </c>
      <c r="G68">
        <v>864</v>
      </c>
      <c r="H68">
        <v>0.43631999999999999</v>
      </c>
      <c r="I68">
        <v>24</v>
      </c>
      <c r="J68">
        <v>1</v>
      </c>
      <c r="K68" t="s">
        <v>2466</v>
      </c>
      <c r="L68" t="s">
        <v>5992</v>
      </c>
      <c r="M68" t="s">
        <v>78</v>
      </c>
      <c r="N68" s="214">
        <v>46282</v>
      </c>
      <c r="Q68" s="214">
        <v>46328</v>
      </c>
      <c r="U68">
        <v>8</v>
      </c>
      <c r="V68" s="214">
        <v>46336</v>
      </c>
    </row>
    <row r="69" spans="1:22">
      <c r="A69" t="s">
        <v>6858</v>
      </c>
      <c r="B69" t="s">
        <v>65</v>
      </c>
      <c r="C69" t="s">
        <v>4526</v>
      </c>
      <c r="D69" t="s">
        <v>691</v>
      </c>
      <c r="E69" t="s">
        <v>692</v>
      </c>
      <c r="F69">
        <v>505</v>
      </c>
      <c r="G69">
        <v>864</v>
      </c>
      <c r="H69">
        <v>0.43631999999999999</v>
      </c>
      <c r="I69">
        <v>24</v>
      </c>
      <c r="J69">
        <v>1</v>
      </c>
      <c r="K69" t="s">
        <v>2466</v>
      </c>
      <c r="L69" t="s">
        <v>5992</v>
      </c>
      <c r="M69" t="s">
        <v>78</v>
      </c>
      <c r="N69" s="214">
        <v>46288</v>
      </c>
      <c r="Q69" s="214">
        <v>46335</v>
      </c>
      <c r="U69">
        <v>8</v>
      </c>
      <c r="V69" s="214">
        <v>46343</v>
      </c>
    </row>
    <row r="70" spans="1:22">
      <c r="A70" t="s">
        <v>6706</v>
      </c>
      <c r="B70" t="s">
        <v>65</v>
      </c>
      <c r="C70" t="s">
        <v>4526</v>
      </c>
      <c r="D70" t="s">
        <v>691</v>
      </c>
      <c r="E70" t="s">
        <v>692</v>
      </c>
      <c r="F70">
        <v>505</v>
      </c>
      <c r="G70">
        <v>4320</v>
      </c>
      <c r="H70">
        <v>2.1816</v>
      </c>
      <c r="I70">
        <v>120</v>
      </c>
      <c r="J70">
        <v>5</v>
      </c>
      <c r="K70" t="s">
        <v>2466</v>
      </c>
      <c r="L70" t="s">
        <v>123</v>
      </c>
      <c r="M70" t="s">
        <v>78</v>
      </c>
      <c r="N70" s="214">
        <v>46282</v>
      </c>
      <c r="Q70" s="214">
        <v>46323</v>
      </c>
      <c r="U70">
        <v>8</v>
      </c>
      <c r="V70" s="214">
        <v>46331.25</v>
      </c>
    </row>
    <row r="71" spans="1:22">
      <c r="A71" t="s">
        <v>6804</v>
      </c>
      <c r="B71" t="s">
        <v>65</v>
      </c>
      <c r="C71" t="s">
        <v>550</v>
      </c>
      <c r="D71" t="s">
        <v>551</v>
      </c>
      <c r="E71" t="s">
        <v>2151</v>
      </c>
      <c r="F71">
        <v>510</v>
      </c>
      <c r="G71">
        <v>792</v>
      </c>
      <c r="H71">
        <v>0.40392</v>
      </c>
      <c r="I71">
        <v>22</v>
      </c>
      <c r="J71">
        <v>1</v>
      </c>
      <c r="K71" t="s">
        <v>2465</v>
      </c>
      <c r="L71" t="s">
        <v>123</v>
      </c>
      <c r="M71" t="s">
        <v>78</v>
      </c>
      <c r="U71">
        <v>8</v>
      </c>
      <c r="V71" s="214">
        <v>46323</v>
      </c>
    </row>
    <row r="72" spans="1:22">
      <c r="A72" t="s">
        <v>6850</v>
      </c>
      <c r="B72" t="s">
        <v>65</v>
      </c>
      <c r="C72" t="s">
        <v>4526</v>
      </c>
      <c r="D72" t="s">
        <v>691</v>
      </c>
      <c r="E72" t="s">
        <v>692</v>
      </c>
      <c r="F72">
        <v>505</v>
      </c>
      <c r="G72">
        <v>864</v>
      </c>
      <c r="H72">
        <v>0.43631999999999999</v>
      </c>
      <c r="I72">
        <v>24</v>
      </c>
      <c r="J72">
        <v>1</v>
      </c>
      <c r="K72" t="s">
        <v>2465</v>
      </c>
      <c r="L72" t="s">
        <v>5992</v>
      </c>
      <c r="M72" t="s">
        <v>78</v>
      </c>
      <c r="N72" s="214">
        <v>46280</v>
      </c>
      <c r="Q72" s="214">
        <v>46293</v>
      </c>
      <c r="U72">
        <v>8</v>
      </c>
      <c r="V72" s="214">
        <v>46301</v>
      </c>
    </row>
    <row r="73" spans="1:22">
      <c r="A73" t="s">
        <v>6961</v>
      </c>
      <c r="B73" t="s">
        <v>68</v>
      </c>
      <c r="C73" t="s">
        <v>4526</v>
      </c>
      <c r="D73" t="s">
        <v>6444</v>
      </c>
      <c r="E73" t="s">
        <v>4593</v>
      </c>
      <c r="F73">
        <v>630</v>
      </c>
      <c r="G73">
        <v>6480</v>
      </c>
      <c r="H73">
        <v>4.0823999999999998</v>
      </c>
      <c r="I73">
        <v>180</v>
      </c>
      <c r="J73">
        <v>9</v>
      </c>
      <c r="K73" t="s">
        <v>6650</v>
      </c>
      <c r="L73" t="s">
        <v>122</v>
      </c>
      <c r="M73" t="s">
        <v>68</v>
      </c>
      <c r="P73" s="214" t="s">
        <v>2521</v>
      </c>
      <c r="U73">
        <v>14</v>
      </c>
      <c r="V73" s="214" t="s">
        <v>68</v>
      </c>
    </row>
    <row r="74" spans="1:22">
      <c r="A74" t="s">
        <v>6937</v>
      </c>
      <c r="B74" t="s">
        <v>68</v>
      </c>
      <c r="C74" t="s">
        <v>4526</v>
      </c>
      <c r="D74" t="s">
        <v>71</v>
      </c>
      <c r="E74" t="s">
        <v>72</v>
      </c>
      <c r="F74">
        <v>500</v>
      </c>
      <c r="G74">
        <v>2592</v>
      </c>
      <c r="H74">
        <v>1.296</v>
      </c>
      <c r="I74">
        <v>72</v>
      </c>
      <c r="J74">
        <v>3</v>
      </c>
      <c r="K74" t="s">
        <v>6650</v>
      </c>
      <c r="L74" t="s">
        <v>61</v>
      </c>
      <c r="M74" t="s">
        <v>68</v>
      </c>
      <c r="P74" s="214" t="s">
        <v>2521</v>
      </c>
      <c r="U74">
        <v>14</v>
      </c>
      <c r="V74" s="214" t="s">
        <v>68</v>
      </c>
    </row>
    <row r="75" spans="1:22">
      <c r="A75" t="s">
        <v>7048</v>
      </c>
      <c r="B75" t="s">
        <v>68</v>
      </c>
      <c r="C75" t="s">
        <v>4526</v>
      </c>
      <c r="D75" t="s">
        <v>7049</v>
      </c>
      <c r="E75" t="s">
        <v>7050</v>
      </c>
      <c r="F75">
        <v>505</v>
      </c>
      <c r="G75">
        <v>10368</v>
      </c>
      <c r="H75">
        <v>5.2358399999999996</v>
      </c>
      <c r="I75">
        <v>288</v>
      </c>
      <c r="J75">
        <v>12</v>
      </c>
      <c r="K75" t="s">
        <v>6650</v>
      </c>
      <c r="L75" t="s">
        <v>61</v>
      </c>
      <c r="M75" t="s">
        <v>68</v>
      </c>
      <c r="P75" s="214" t="s">
        <v>2521</v>
      </c>
      <c r="U75">
        <v>14</v>
      </c>
      <c r="V75" s="214" t="s">
        <v>68</v>
      </c>
    </row>
    <row r="76" spans="1:22">
      <c r="A76" t="s">
        <v>6929</v>
      </c>
      <c r="B76" t="s">
        <v>68</v>
      </c>
      <c r="C76" t="s">
        <v>5374</v>
      </c>
      <c r="D76" t="s">
        <v>6695</v>
      </c>
      <c r="E76" t="s">
        <v>6696</v>
      </c>
      <c r="F76">
        <v>480</v>
      </c>
      <c r="G76">
        <v>72</v>
      </c>
      <c r="H76">
        <v>3.456E-2</v>
      </c>
      <c r="I76">
        <v>2</v>
      </c>
      <c r="J76">
        <v>7.6923076923076927E-2</v>
      </c>
      <c r="K76" t="s">
        <v>6650</v>
      </c>
      <c r="L76" t="s">
        <v>123</v>
      </c>
      <c r="M76" t="s">
        <v>68</v>
      </c>
      <c r="P76" s="214" t="s">
        <v>2521</v>
      </c>
      <c r="U76">
        <v>14</v>
      </c>
      <c r="V76" s="214" t="s">
        <v>68</v>
      </c>
    </row>
    <row r="77" spans="1:22">
      <c r="A77" t="s">
        <v>6928</v>
      </c>
      <c r="B77" t="s">
        <v>68</v>
      </c>
      <c r="C77" t="s">
        <v>5374</v>
      </c>
      <c r="D77" t="s">
        <v>5375</v>
      </c>
      <c r="E77" t="s">
        <v>5376</v>
      </c>
      <c r="F77">
        <v>470</v>
      </c>
      <c r="G77">
        <v>576</v>
      </c>
      <c r="H77">
        <v>0.27072000000000002</v>
      </c>
      <c r="I77">
        <v>16</v>
      </c>
      <c r="J77">
        <v>0.61538461538461542</v>
      </c>
      <c r="K77" t="s">
        <v>6650</v>
      </c>
      <c r="L77" t="s">
        <v>123</v>
      </c>
      <c r="M77" t="s">
        <v>68</v>
      </c>
      <c r="P77" s="214" t="s">
        <v>2521</v>
      </c>
      <c r="U77">
        <v>14</v>
      </c>
      <c r="V77" s="214" t="s">
        <v>68</v>
      </c>
    </row>
    <row r="78" spans="1:22">
      <c r="A78" t="s">
        <v>6927</v>
      </c>
      <c r="B78" t="s">
        <v>68</v>
      </c>
      <c r="C78" t="s">
        <v>5374</v>
      </c>
      <c r="D78" t="s">
        <v>6652</v>
      </c>
      <c r="E78" t="s">
        <v>6653</v>
      </c>
      <c r="F78">
        <v>475</v>
      </c>
      <c r="G78">
        <v>288</v>
      </c>
      <c r="H78">
        <v>0.1368</v>
      </c>
      <c r="I78">
        <v>8</v>
      </c>
      <c r="J78">
        <v>0.30769230769230771</v>
      </c>
      <c r="K78" t="s">
        <v>6650</v>
      </c>
      <c r="L78" t="s">
        <v>123</v>
      </c>
      <c r="M78" t="s">
        <v>68</v>
      </c>
      <c r="P78" s="214" t="s">
        <v>2521</v>
      </c>
      <c r="U78">
        <v>14</v>
      </c>
      <c r="V78" s="214" t="s">
        <v>68</v>
      </c>
    </row>
    <row r="79" spans="1:22">
      <c r="A79" t="s">
        <v>7041</v>
      </c>
      <c r="B79" t="s">
        <v>68</v>
      </c>
      <c r="C79" t="s">
        <v>4526</v>
      </c>
      <c r="D79" t="s">
        <v>71</v>
      </c>
      <c r="E79" t="s">
        <v>72</v>
      </c>
      <c r="F79">
        <v>500</v>
      </c>
      <c r="G79">
        <v>19872</v>
      </c>
      <c r="H79">
        <v>9.9359999999999999</v>
      </c>
      <c r="I79">
        <v>552</v>
      </c>
      <c r="J79">
        <v>23</v>
      </c>
      <c r="K79" t="s">
        <v>6650</v>
      </c>
      <c r="L79" t="s">
        <v>61</v>
      </c>
      <c r="M79" t="s">
        <v>68</v>
      </c>
      <c r="P79" s="214" t="s">
        <v>2521</v>
      </c>
      <c r="U79">
        <v>14</v>
      </c>
      <c r="V79" s="214" t="s">
        <v>68</v>
      </c>
    </row>
    <row r="80" spans="1:22">
      <c r="A80" t="s">
        <v>7008</v>
      </c>
      <c r="B80" t="s">
        <v>68</v>
      </c>
      <c r="C80" t="s">
        <v>550</v>
      </c>
      <c r="D80" t="s">
        <v>2134</v>
      </c>
      <c r="E80" t="s">
        <v>2135</v>
      </c>
      <c r="F80">
        <v>515</v>
      </c>
      <c r="G80">
        <v>3960</v>
      </c>
      <c r="H80">
        <v>2.0394000000000001</v>
      </c>
      <c r="I80">
        <v>110</v>
      </c>
      <c r="J80">
        <v>5</v>
      </c>
      <c r="K80" t="s">
        <v>6650</v>
      </c>
      <c r="L80" t="s">
        <v>122</v>
      </c>
      <c r="M80" t="s">
        <v>68</v>
      </c>
      <c r="P80" s="214" t="s">
        <v>2521</v>
      </c>
      <c r="U80">
        <v>14</v>
      </c>
      <c r="V80" s="214" t="s">
        <v>68</v>
      </c>
    </row>
    <row r="81" spans="1:22">
      <c r="A81" t="s">
        <v>6870</v>
      </c>
      <c r="B81" t="s">
        <v>68</v>
      </c>
      <c r="C81" t="s">
        <v>713</v>
      </c>
      <c r="D81" t="s">
        <v>6871</v>
      </c>
      <c r="E81" t="s">
        <v>1300</v>
      </c>
      <c r="F81">
        <v>720</v>
      </c>
      <c r="G81">
        <v>594</v>
      </c>
      <c r="H81">
        <v>0.42768</v>
      </c>
      <c r="I81">
        <v>18</v>
      </c>
      <c r="J81">
        <v>1</v>
      </c>
      <c r="K81" t="s">
        <v>6650</v>
      </c>
      <c r="L81" t="s">
        <v>123</v>
      </c>
      <c r="M81" t="s">
        <v>68</v>
      </c>
      <c r="P81" s="214" t="s">
        <v>2521</v>
      </c>
      <c r="U81">
        <v>14</v>
      </c>
      <c r="V81" s="214" t="s">
        <v>68</v>
      </c>
    </row>
    <row r="82" spans="1:22">
      <c r="A82" t="s">
        <v>7027</v>
      </c>
      <c r="B82" t="s">
        <v>68</v>
      </c>
      <c r="C82" t="s">
        <v>170</v>
      </c>
      <c r="D82" t="s">
        <v>1977</v>
      </c>
      <c r="E82" t="s">
        <v>1978</v>
      </c>
      <c r="F82">
        <v>560</v>
      </c>
      <c r="G82">
        <v>660</v>
      </c>
      <c r="H82">
        <v>0.36959999999999998</v>
      </c>
      <c r="I82">
        <v>20</v>
      </c>
      <c r="J82">
        <v>1</v>
      </c>
      <c r="K82" t="s">
        <v>6650</v>
      </c>
      <c r="L82" t="s">
        <v>123</v>
      </c>
      <c r="M82" t="s">
        <v>68</v>
      </c>
      <c r="P82" s="214" t="s">
        <v>2521</v>
      </c>
      <c r="U82">
        <v>14</v>
      </c>
      <c r="V82" s="214" t="s">
        <v>68</v>
      </c>
    </row>
    <row r="83" spans="1:22">
      <c r="A83" t="s">
        <v>6769</v>
      </c>
      <c r="B83" t="s">
        <v>68</v>
      </c>
      <c r="C83" t="s">
        <v>4526</v>
      </c>
      <c r="D83" t="s">
        <v>6466</v>
      </c>
      <c r="E83" t="s">
        <v>103</v>
      </c>
      <c r="F83">
        <v>620</v>
      </c>
      <c r="G83">
        <v>3600</v>
      </c>
      <c r="H83">
        <v>2.2320000000000002</v>
      </c>
      <c r="I83">
        <v>100</v>
      </c>
      <c r="J83">
        <v>5</v>
      </c>
      <c r="K83" t="s">
        <v>6650</v>
      </c>
      <c r="L83" t="s">
        <v>122</v>
      </c>
      <c r="M83" t="s">
        <v>68</v>
      </c>
      <c r="U83">
        <v>14</v>
      </c>
      <c r="V83" s="214" t="s">
        <v>68</v>
      </c>
    </row>
    <row r="84" spans="1:22">
      <c r="A84" t="s">
        <v>7042</v>
      </c>
      <c r="B84" t="s">
        <v>68</v>
      </c>
      <c r="C84" t="s">
        <v>4526</v>
      </c>
      <c r="D84" t="s">
        <v>1151</v>
      </c>
      <c r="E84" t="s">
        <v>421</v>
      </c>
      <c r="F84">
        <v>505</v>
      </c>
      <c r="G84">
        <v>3456</v>
      </c>
      <c r="H84">
        <v>1.7452799999999999</v>
      </c>
      <c r="I84">
        <v>96</v>
      </c>
      <c r="J84">
        <v>4</v>
      </c>
      <c r="K84" t="s">
        <v>6650</v>
      </c>
      <c r="L84" t="s">
        <v>61</v>
      </c>
      <c r="M84" t="s">
        <v>68</v>
      </c>
      <c r="P84" s="214" t="s">
        <v>2521</v>
      </c>
      <c r="U84">
        <v>14</v>
      </c>
      <c r="V84" s="214" t="s">
        <v>68</v>
      </c>
    </row>
    <row r="85" spans="1:22">
      <c r="A85" t="s">
        <v>6957</v>
      </c>
      <c r="B85" t="s">
        <v>68</v>
      </c>
      <c r="C85" t="s">
        <v>4526</v>
      </c>
      <c r="D85" t="s">
        <v>6207</v>
      </c>
      <c r="E85" t="s">
        <v>330</v>
      </c>
      <c r="F85">
        <v>625</v>
      </c>
      <c r="G85">
        <v>2880</v>
      </c>
      <c r="H85">
        <v>1.8</v>
      </c>
      <c r="I85">
        <v>80</v>
      </c>
      <c r="J85">
        <v>4</v>
      </c>
      <c r="K85" t="s">
        <v>6650</v>
      </c>
      <c r="L85" t="s">
        <v>122</v>
      </c>
      <c r="M85" t="s">
        <v>68</v>
      </c>
      <c r="P85" s="214" t="s">
        <v>2521</v>
      </c>
      <c r="U85">
        <v>14</v>
      </c>
      <c r="V85" s="214">
        <v>46355</v>
      </c>
    </row>
    <row r="86" spans="1:22">
      <c r="A86" t="s">
        <v>7617</v>
      </c>
      <c r="D86" t="s">
        <v>7649</v>
      </c>
      <c r="E86" t="s">
        <v>7651</v>
      </c>
      <c r="G86">
        <v>18</v>
      </c>
      <c r="J86">
        <v>0.13953488372093023</v>
      </c>
      <c r="L86" t="s">
        <v>288</v>
      </c>
      <c r="U86">
        <v>14</v>
      </c>
      <c r="V86" s="214">
        <v>13</v>
      </c>
    </row>
    <row r="87" spans="1:22">
      <c r="A87" t="s">
        <v>7657</v>
      </c>
      <c r="D87" t="s">
        <v>7573</v>
      </c>
      <c r="E87" t="s">
        <v>7658</v>
      </c>
      <c r="G87">
        <v>30</v>
      </c>
      <c r="J87">
        <v>0.23255813953488372</v>
      </c>
      <c r="L87" t="s">
        <v>288</v>
      </c>
      <c r="U87">
        <v>14</v>
      </c>
      <c r="V87" s="214">
        <v>13</v>
      </c>
    </row>
    <row r="88" spans="1:22">
      <c r="A88" t="s">
        <v>7653</v>
      </c>
      <c r="D88" t="s">
        <v>7561</v>
      </c>
      <c r="E88" t="s">
        <v>7654</v>
      </c>
      <c r="G88">
        <v>27</v>
      </c>
      <c r="J88">
        <v>0.20930232558139536</v>
      </c>
      <c r="L88" t="s">
        <v>288</v>
      </c>
      <c r="U88">
        <v>14</v>
      </c>
      <c r="V88" s="214">
        <v>13</v>
      </c>
    </row>
    <row r="89" spans="1:22">
      <c r="A89" t="s">
        <v>7655</v>
      </c>
      <c r="D89" t="s">
        <v>7569</v>
      </c>
      <c r="E89" t="s">
        <v>7656</v>
      </c>
      <c r="G89">
        <v>54</v>
      </c>
      <c r="J89">
        <v>0.41860465116279072</v>
      </c>
      <c r="L89" t="s">
        <v>288</v>
      </c>
      <c r="U89">
        <v>14</v>
      </c>
      <c r="V89" s="214">
        <v>13</v>
      </c>
    </row>
    <row r="90" spans="1:22">
      <c r="A90" t="s">
        <v>7592</v>
      </c>
      <c r="B90" t="s">
        <v>450</v>
      </c>
      <c r="D90" t="s">
        <v>7116</v>
      </c>
      <c r="E90" t="s">
        <v>7117</v>
      </c>
      <c r="G90">
        <v>40</v>
      </c>
      <c r="J90">
        <v>0.15151515151515152</v>
      </c>
      <c r="K90" t="s">
        <v>7594</v>
      </c>
      <c r="L90" t="s">
        <v>122</v>
      </c>
      <c r="M90" t="s">
        <v>7595</v>
      </c>
      <c r="Q90" s="214">
        <v>46321</v>
      </c>
      <c r="U90">
        <v>0</v>
      </c>
      <c r="V90" s="214">
        <v>46328</v>
      </c>
    </row>
    <row r="91" spans="1:22">
      <c r="A91" t="s">
        <v>7597</v>
      </c>
      <c r="B91" t="s">
        <v>450</v>
      </c>
      <c r="D91" t="s">
        <v>7082</v>
      </c>
      <c r="E91" t="s">
        <v>7084</v>
      </c>
      <c r="G91">
        <v>26</v>
      </c>
      <c r="J91">
        <v>9.8484848484848481E-2</v>
      </c>
      <c r="K91" t="s">
        <v>7594</v>
      </c>
      <c r="L91" t="s">
        <v>122</v>
      </c>
      <c r="M91" t="s">
        <v>7595</v>
      </c>
      <c r="Q91" s="214">
        <v>46321</v>
      </c>
      <c r="U91">
        <v>0</v>
      </c>
      <c r="V91" s="214">
        <v>46328</v>
      </c>
    </row>
    <row r="92" spans="1:22">
      <c r="A92" t="s">
        <v>7598</v>
      </c>
      <c r="B92" t="s">
        <v>450</v>
      </c>
      <c r="D92" t="s">
        <v>7094</v>
      </c>
      <c r="E92" t="s">
        <v>7096</v>
      </c>
      <c r="G92">
        <v>66</v>
      </c>
      <c r="J92">
        <v>0.25</v>
      </c>
      <c r="K92" t="s">
        <v>7594</v>
      </c>
      <c r="L92" t="s">
        <v>122</v>
      </c>
      <c r="M92" t="s">
        <v>7595</v>
      </c>
      <c r="Q92" s="214">
        <v>46321</v>
      </c>
      <c r="U92">
        <v>0</v>
      </c>
      <c r="V92" s="214">
        <v>46328</v>
      </c>
    </row>
    <row r="93" spans="1:22">
      <c r="A93" t="s">
        <v>7599</v>
      </c>
      <c r="B93" t="s">
        <v>450</v>
      </c>
      <c r="D93" t="s">
        <v>7105</v>
      </c>
      <c r="E93" t="s">
        <v>7107</v>
      </c>
      <c r="G93">
        <v>132</v>
      </c>
      <c r="J93">
        <v>0.5</v>
      </c>
      <c r="K93" t="s">
        <v>7594</v>
      </c>
      <c r="L93" t="s">
        <v>122</v>
      </c>
      <c r="M93" t="s">
        <v>7595</v>
      </c>
      <c r="Q93" s="214">
        <v>46321</v>
      </c>
      <c r="U93">
        <v>0</v>
      </c>
      <c r="V93" s="214">
        <v>46328</v>
      </c>
    </row>
    <row r="94" spans="1:22">
      <c r="A94" t="s">
        <v>7617</v>
      </c>
      <c r="B94" t="s">
        <v>65</v>
      </c>
      <c r="D94" t="s">
        <v>7070</v>
      </c>
      <c r="E94" t="s">
        <v>7072</v>
      </c>
      <c r="G94">
        <v>180</v>
      </c>
      <c r="J94">
        <v>0</v>
      </c>
      <c r="K94" t="s">
        <v>7601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7616</v>
      </c>
      <c r="B95" t="s">
        <v>65</v>
      </c>
      <c r="D95" t="s">
        <v>7094</v>
      </c>
      <c r="E95" t="s">
        <v>7096</v>
      </c>
      <c r="G95">
        <v>19</v>
      </c>
      <c r="J95">
        <v>7.3076923076923081E-2</v>
      </c>
      <c r="K95" t="s">
        <v>7601</v>
      </c>
      <c r="L95" t="s">
        <v>122</v>
      </c>
      <c r="M95" t="s">
        <v>78</v>
      </c>
      <c r="Q95" s="214">
        <v>46342</v>
      </c>
      <c r="U95">
        <v>8</v>
      </c>
      <c r="V95" s="214">
        <v>46350</v>
      </c>
    </row>
    <row r="96" spans="1:22">
      <c r="A96" t="s">
        <v>7615</v>
      </c>
      <c r="B96" t="s">
        <v>65</v>
      </c>
      <c r="D96" t="s">
        <v>7094</v>
      </c>
      <c r="E96" t="s">
        <v>7096</v>
      </c>
      <c r="G96">
        <v>111</v>
      </c>
      <c r="J96">
        <v>0.42692307692307691</v>
      </c>
      <c r="K96" t="s">
        <v>7601</v>
      </c>
      <c r="L96" t="s">
        <v>122</v>
      </c>
      <c r="M96" t="s">
        <v>78</v>
      </c>
      <c r="Q96" s="214">
        <v>46342</v>
      </c>
      <c r="U96">
        <v>8</v>
      </c>
      <c r="V96" s="214">
        <v>46350</v>
      </c>
    </row>
    <row r="97" spans="1:22">
      <c r="A97" t="s">
        <v>7614</v>
      </c>
      <c r="B97" t="s">
        <v>65</v>
      </c>
      <c r="D97" t="s">
        <v>7082</v>
      </c>
      <c r="E97" t="s">
        <v>7084</v>
      </c>
      <c r="G97">
        <v>16</v>
      </c>
      <c r="J97">
        <v>6.1538461538461542E-2</v>
      </c>
      <c r="K97" t="s">
        <v>7601</v>
      </c>
      <c r="L97" t="s">
        <v>122</v>
      </c>
      <c r="M97" t="s">
        <v>78</v>
      </c>
      <c r="Q97" s="214">
        <v>46342</v>
      </c>
      <c r="U97">
        <v>8</v>
      </c>
      <c r="V97" s="214">
        <v>46350</v>
      </c>
    </row>
    <row r="98" spans="1:22">
      <c r="A98" t="s">
        <v>7608</v>
      </c>
      <c r="B98" t="s">
        <v>65</v>
      </c>
      <c r="D98" t="s">
        <v>7116</v>
      </c>
      <c r="E98" t="s">
        <v>7117</v>
      </c>
      <c r="G98">
        <v>18</v>
      </c>
      <c r="J98">
        <v>6.9230769230769235E-2</v>
      </c>
      <c r="K98" t="s">
        <v>7601</v>
      </c>
      <c r="L98" t="s">
        <v>122</v>
      </c>
      <c r="M98" t="s">
        <v>78</v>
      </c>
      <c r="Q98" s="214">
        <v>46342</v>
      </c>
      <c r="U98">
        <v>8</v>
      </c>
      <c r="V98" s="214">
        <v>46350</v>
      </c>
    </row>
    <row r="99" spans="1:22">
      <c r="A99" t="s">
        <v>7612</v>
      </c>
      <c r="B99" t="s">
        <v>65</v>
      </c>
      <c r="D99" t="s">
        <v>7116</v>
      </c>
      <c r="E99" t="s">
        <v>7117</v>
      </c>
      <c r="G99">
        <v>2</v>
      </c>
      <c r="J99">
        <v>7.6923076923076927E-3</v>
      </c>
      <c r="K99" t="s">
        <v>7601</v>
      </c>
      <c r="L99" t="s">
        <v>122</v>
      </c>
      <c r="M99" t="s">
        <v>78</v>
      </c>
      <c r="Q99" s="214">
        <v>46342</v>
      </c>
      <c r="U99">
        <v>8</v>
      </c>
      <c r="V99" s="214">
        <v>46350</v>
      </c>
    </row>
    <row r="100" spans="1:22">
      <c r="A100" t="s">
        <v>7635</v>
      </c>
      <c r="B100" t="s">
        <v>100</v>
      </c>
      <c r="D100" t="s">
        <v>7105</v>
      </c>
      <c r="E100" t="s">
        <v>7107</v>
      </c>
      <c r="G100">
        <v>80</v>
      </c>
      <c r="J100">
        <v>0.28985507246376813</v>
      </c>
      <c r="K100" t="s">
        <v>7601</v>
      </c>
      <c r="L100" t="s">
        <v>122</v>
      </c>
      <c r="M100" t="s">
        <v>105</v>
      </c>
      <c r="Q100" s="214">
        <v>46340</v>
      </c>
      <c r="U100">
        <v>7</v>
      </c>
      <c r="V100" s="214">
        <v>46347</v>
      </c>
    </row>
    <row r="101" spans="1:22">
      <c r="A101" t="s">
        <v>7607</v>
      </c>
      <c r="B101" t="s">
        <v>114</v>
      </c>
      <c r="D101" t="s">
        <v>7094</v>
      </c>
      <c r="E101" t="s">
        <v>7096</v>
      </c>
      <c r="G101">
        <v>130</v>
      </c>
      <c r="J101">
        <v>0.5</v>
      </c>
      <c r="K101" t="s">
        <v>7601</v>
      </c>
      <c r="L101" t="s">
        <v>122</v>
      </c>
      <c r="M101" t="s">
        <v>124</v>
      </c>
      <c r="Q101" s="214">
        <v>46324</v>
      </c>
      <c r="U101">
        <v>9</v>
      </c>
      <c r="V101" s="214">
        <v>46333</v>
      </c>
    </row>
    <row r="102" spans="1:22">
      <c r="A102" t="s">
        <v>7606</v>
      </c>
      <c r="B102" t="s">
        <v>114</v>
      </c>
      <c r="D102" t="s">
        <v>7091</v>
      </c>
      <c r="E102" t="s">
        <v>7092</v>
      </c>
      <c r="G102">
        <v>2</v>
      </c>
      <c r="J102">
        <v>7.6923076923076927E-3</v>
      </c>
      <c r="K102" t="s">
        <v>7601</v>
      </c>
      <c r="L102" t="s">
        <v>122</v>
      </c>
      <c r="M102" t="s">
        <v>124</v>
      </c>
      <c r="Q102" s="214">
        <v>46324</v>
      </c>
      <c r="U102">
        <v>9</v>
      </c>
      <c r="V102" s="214">
        <v>46333</v>
      </c>
    </row>
    <row r="103" spans="1:22">
      <c r="A103" t="s">
        <v>7605</v>
      </c>
      <c r="B103" t="s">
        <v>114</v>
      </c>
      <c r="D103" t="s">
        <v>7091</v>
      </c>
      <c r="E103" t="s">
        <v>7092</v>
      </c>
      <c r="G103">
        <v>38</v>
      </c>
      <c r="J103">
        <v>0.14615384615384616</v>
      </c>
      <c r="K103" t="s">
        <v>7601</v>
      </c>
      <c r="L103" t="s">
        <v>122</v>
      </c>
      <c r="M103" t="s">
        <v>124</v>
      </c>
      <c r="Q103" s="214">
        <v>46324</v>
      </c>
      <c r="U103">
        <v>9</v>
      </c>
      <c r="V103" s="214">
        <v>46333</v>
      </c>
    </row>
    <row r="104" spans="1:22">
      <c r="A104" t="s">
        <v>7600</v>
      </c>
      <c r="B104" t="s">
        <v>114</v>
      </c>
      <c r="D104" t="s">
        <v>7082</v>
      </c>
      <c r="E104" t="s">
        <v>7084</v>
      </c>
      <c r="G104">
        <v>90</v>
      </c>
      <c r="J104">
        <v>0.34615384615384615</v>
      </c>
      <c r="K104" t="s">
        <v>7601</v>
      </c>
      <c r="L104" t="s">
        <v>122</v>
      </c>
      <c r="M104" t="s">
        <v>124</v>
      </c>
      <c r="Q104" s="214">
        <v>46324</v>
      </c>
      <c r="U104">
        <v>9</v>
      </c>
      <c r="V104" s="214">
        <v>46333</v>
      </c>
    </row>
    <row r="105" spans="1:22">
      <c r="A105" t="s">
        <v>7613</v>
      </c>
      <c r="B105" t="s">
        <v>65</v>
      </c>
      <c r="D105" t="s">
        <v>7082</v>
      </c>
      <c r="E105" t="s">
        <v>7084</v>
      </c>
      <c r="G105">
        <v>94</v>
      </c>
      <c r="J105">
        <v>0.36153846153846153</v>
      </c>
      <c r="K105" t="s">
        <v>7601</v>
      </c>
      <c r="L105" t="s">
        <v>122</v>
      </c>
      <c r="M105" t="s">
        <v>78</v>
      </c>
      <c r="Q105" s="214">
        <v>46342</v>
      </c>
      <c r="U105">
        <v>8</v>
      </c>
      <c r="V105" s="214">
        <v>46350</v>
      </c>
    </row>
    <row r="106" spans="1:22">
      <c r="A106" t="s">
        <v>7630</v>
      </c>
      <c r="B106" t="s">
        <v>100</v>
      </c>
      <c r="D106" t="s">
        <v>7105</v>
      </c>
      <c r="E106" t="s">
        <v>7107</v>
      </c>
      <c r="G106">
        <v>472</v>
      </c>
      <c r="J106">
        <v>1.7101449275362319</v>
      </c>
      <c r="K106" t="s">
        <v>7601</v>
      </c>
      <c r="L106" t="s">
        <v>122</v>
      </c>
      <c r="M106" t="s">
        <v>105</v>
      </c>
      <c r="Q106" s="214">
        <v>46340</v>
      </c>
      <c r="U106">
        <v>7</v>
      </c>
      <c r="V106" s="214">
        <v>46347</v>
      </c>
    </row>
    <row r="107" spans="1:22">
      <c r="A107" t="s">
        <v>7681</v>
      </c>
      <c r="B107" t="s">
        <v>68</v>
      </c>
      <c r="D107" t="s">
        <v>7682</v>
      </c>
      <c r="E107" t="s">
        <v>7684</v>
      </c>
      <c r="G107">
        <v>8</v>
      </c>
      <c r="J107">
        <v>1</v>
      </c>
      <c r="K107" t="s">
        <v>7685</v>
      </c>
      <c r="L107" t="s">
        <v>288</v>
      </c>
      <c r="M107" t="s">
        <v>7686</v>
      </c>
      <c r="U107">
        <v>14</v>
      </c>
      <c r="V107" s="214">
        <v>13</v>
      </c>
    </row>
    <row r="108" spans="1:22">
      <c r="A108" t="s">
        <v>7624</v>
      </c>
      <c r="B108" t="s">
        <v>65</v>
      </c>
      <c r="D108" t="s">
        <v>7355</v>
      </c>
      <c r="E108" t="s">
        <v>7356</v>
      </c>
      <c r="G108">
        <v>3</v>
      </c>
      <c r="J108">
        <v>9.8684210526315784E-3</v>
      </c>
      <c r="K108" t="s">
        <v>7619</v>
      </c>
      <c r="L108" t="s">
        <v>122</v>
      </c>
      <c r="M108" t="s">
        <v>78</v>
      </c>
      <c r="U108">
        <v>8</v>
      </c>
      <c r="V108" s="214">
        <v>46358</v>
      </c>
    </row>
    <row r="109" spans="1:22">
      <c r="A109" t="s">
        <v>7625</v>
      </c>
      <c r="B109" t="s">
        <v>65</v>
      </c>
      <c r="D109" t="s">
        <v>7362</v>
      </c>
      <c r="E109" t="s">
        <v>7363</v>
      </c>
      <c r="G109">
        <v>143</v>
      </c>
      <c r="J109">
        <v>0.47039473684210525</v>
      </c>
      <c r="K109" t="s">
        <v>7619</v>
      </c>
      <c r="L109" t="s">
        <v>122</v>
      </c>
      <c r="M109" t="s">
        <v>78</v>
      </c>
      <c r="U109">
        <v>8</v>
      </c>
      <c r="V109" s="214">
        <v>46358</v>
      </c>
    </row>
    <row r="110" spans="1:22">
      <c r="A110" t="s">
        <v>7626</v>
      </c>
      <c r="B110" t="s">
        <v>65</v>
      </c>
      <c r="D110" t="s">
        <v>7362</v>
      </c>
      <c r="E110" t="s">
        <v>7363</v>
      </c>
      <c r="G110">
        <v>9</v>
      </c>
      <c r="J110">
        <v>2.9605263157894735E-2</v>
      </c>
      <c r="K110" t="s">
        <v>7619</v>
      </c>
      <c r="L110" t="s">
        <v>122</v>
      </c>
      <c r="M110" t="s">
        <v>78</v>
      </c>
      <c r="U110">
        <v>8</v>
      </c>
      <c r="V110" s="214">
        <v>46358</v>
      </c>
    </row>
    <row r="111" spans="1:22">
      <c r="A111" t="s">
        <v>7622</v>
      </c>
      <c r="B111" t="s">
        <v>65</v>
      </c>
      <c r="D111" t="s">
        <v>7370</v>
      </c>
      <c r="E111" t="s">
        <v>7371</v>
      </c>
      <c r="G111">
        <v>6</v>
      </c>
      <c r="J111">
        <v>1.9736842105263157E-2</v>
      </c>
      <c r="K111" t="s">
        <v>7619</v>
      </c>
      <c r="L111" t="s">
        <v>122</v>
      </c>
      <c r="M111" t="s">
        <v>78</v>
      </c>
      <c r="U111">
        <v>8</v>
      </c>
      <c r="V111" s="214">
        <v>46358</v>
      </c>
    </row>
    <row r="112" spans="1:22">
      <c r="A112" t="s">
        <v>7621</v>
      </c>
      <c r="B112" t="s">
        <v>65</v>
      </c>
      <c r="D112" t="s">
        <v>7370</v>
      </c>
      <c r="E112" t="s">
        <v>7371</v>
      </c>
      <c r="G112">
        <v>42</v>
      </c>
      <c r="J112">
        <v>0.13815789473684212</v>
      </c>
      <c r="K112" t="s">
        <v>7619</v>
      </c>
      <c r="L112" t="s">
        <v>122</v>
      </c>
      <c r="M112" t="s">
        <v>78</v>
      </c>
      <c r="U112">
        <v>8</v>
      </c>
      <c r="V112" s="214">
        <v>46358</v>
      </c>
    </row>
    <row r="113" spans="1:22">
      <c r="A113" t="s">
        <v>7636</v>
      </c>
      <c r="B113" t="s">
        <v>114</v>
      </c>
      <c r="D113" t="s">
        <v>7105</v>
      </c>
      <c r="E113" t="s">
        <v>7107</v>
      </c>
      <c r="G113">
        <v>276</v>
      </c>
      <c r="J113">
        <v>1</v>
      </c>
      <c r="K113" t="s">
        <v>7619</v>
      </c>
      <c r="L113" t="s">
        <v>122</v>
      </c>
      <c r="M113" t="s">
        <v>124</v>
      </c>
      <c r="Q113" s="214">
        <v>46334</v>
      </c>
      <c r="U113">
        <v>9</v>
      </c>
      <c r="V113" s="214">
        <v>46343</v>
      </c>
    </row>
    <row r="114" spans="1:22">
      <c r="A114" t="s">
        <v>7585</v>
      </c>
      <c r="B114" t="s">
        <v>65</v>
      </c>
      <c r="D114" t="s">
        <v>7105</v>
      </c>
      <c r="E114" t="s">
        <v>7107</v>
      </c>
      <c r="G114">
        <v>276</v>
      </c>
      <c r="J114">
        <v>1</v>
      </c>
      <c r="K114" t="s">
        <v>7619</v>
      </c>
      <c r="L114" t="s">
        <v>122</v>
      </c>
      <c r="M114" t="s">
        <v>78</v>
      </c>
      <c r="Q114" s="214">
        <v>46351</v>
      </c>
      <c r="U114">
        <v>8</v>
      </c>
      <c r="V114" s="214">
        <v>46359</v>
      </c>
    </row>
    <row r="115" spans="1:22">
      <c r="A115" t="s">
        <v>7623</v>
      </c>
      <c r="B115" t="s">
        <v>65</v>
      </c>
      <c r="D115" t="s">
        <v>7355</v>
      </c>
      <c r="E115" t="s">
        <v>7356</v>
      </c>
      <c r="G115">
        <v>101</v>
      </c>
      <c r="J115">
        <v>0.33223684210526316</v>
      </c>
      <c r="K115" t="s">
        <v>7619</v>
      </c>
      <c r="L115" t="s">
        <v>122</v>
      </c>
      <c r="M115" t="s">
        <v>78</v>
      </c>
      <c r="U115">
        <v>8</v>
      </c>
      <c r="V115" s="214">
        <v>46358</v>
      </c>
    </row>
    <row r="116" spans="1:22">
      <c r="A116" t="s">
        <v>7618</v>
      </c>
      <c r="B116" t="s">
        <v>65</v>
      </c>
      <c r="D116" t="s">
        <v>7082</v>
      </c>
      <c r="E116" t="s">
        <v>7084</v>
      </c>
      <c r="G116">
        <v>130</v>
      </c>
      <c r="J116">
        <v>0.5</v>
      </c>
      <c r="K116" t="s">
        <v>7619</v>
      </c>
      <c r="L116" t="s">
        <v>122</v>
      </c>
      <c r="M116" t="s">
        <v>78</v>
      </c>
      <c r="Q116" s="214">
        <v>46342</v>
      </c>
      <c r="U116">
        <v>8</v>
      </c>
      <c r="V116" s="214">
        <v>46350</v>
      </c>
    </row>
    <row r="117" spans="1:22">
      <c r="A117" t="s">
        <v>7620</v>
      </c>
      <c r="B117" t="s">
        <v>65</v>
      </c>
      <c r="D117" t="s">
        <v>7094</v>
      </c>
      <c r="E117" t="s">
        <v>7096</v>
      </c>
      <c r="G117">
        <v>130</v>
      </c>
      <c r="J117">
        <v>0.5</v>
      </c>
      <c r="K117" t="s">
        <v>7619</v>
      </c>
      <c r="L117" t="s">
        <v>122</v>
      </c>
      <c r="M117" t="s">
        <v>78</v>
      </c>
      <c r="Q117" s="214">
        <v>46342</v>
      </c>
      <c r="U117">
        <v>8</v>
      </c>
      <c r="V117" s="214">
        <v>46350</v>
      </c>
    </row>
    <row r="118" spans="1:22">
      <c r="A118" t="s">
        <v>7627</v>
      </c>
      <c r="B118" t="s">
        <v>65</v>
      </c>
      <c r="D118" t="s">
        <v>7370</v>
      </c>
      <c r="E118" t="s">
        <v>7371</v>
      </c>
      <c r="G118">
        <v>152</v>
      </c>
      <c r="J118">
        <v>0.5</v>
      </c>
      <c r="K118" t="s">
        <v>7628</v>
      </c>
      <c r="L118" t="s">
        <v>122</v>
      </c>
      <c r="M118" t="s">
        <v>78</v>
      </c>
      <c r="U118">
        <v>8</v>
      </c>
      <c r="V118" s="214">
        <v>46365</v>
      </c>
    </row>
    <row r="119" spans="1:22">
      <c r="A119" t="s">
        <v>7629</v>
      </c>
      <c r="B119" t="s">
        <v>65</v>
      </c>
      <c r="D119" t="s">
        <v>7362</v>
      </c>
      <c r="E119" t="s">
        <v>7363</v>
      </c>
      <c r="G119">
        <v>152</v>
      </c>
      <c r="J119">
        <v>0.5</v>
      </c>
      <c r="K119" t="s">
        <v>7628</v>
      </c>
      <c r="L119" t="s">
        <v>122</v>
      </c>
      <c r="M119" t="s">
        <v>78</v>
      </c>
      <c r="U119">
        <v>8</v>
      </c>
      <c r="V119" s="214">
        <v>46365</v>
      </c>
    </row>
    <row r="120" spans="1:22">
      <c r="A120" t="s">
        <v>7641</v>
      </c>
      <c r="B120" t="s">
        <v>65</v>
      </c>
      <c r="D120" t="s">
        <v>7105</v>
      </c>
      <c r="E120" t="s">
        <v>7107</v>
      </c>
      <c r="G120">
        <v>552</v>
      </c>
      <c r="J120">
        <v>2</v>
      </c>
      <c r="K120" t="s">
        <v>7628</v>
      </c>
      <c r="L120" t="s">
        <v>122</v>
      </c>
      <c r="M120" t="s">
        <v>78</v>
      </c>
      <c r="U120">
        <v>8</v>
      </c>
      <c r="V120" s="214">
        <v>46365</v>
      </c>
    </row>
    <row r="121" spans="1:22">
      <c r="A121" t="s">
        <v>7643</v>
      </c>
      <c r="B121" t="s">
        <v>65</v>
      </c>
      <c r="D121" t="s">
        <v>7105</v>
      </c>
      <c r="E121" t="s">
        <v>7107</v>
      </c>
      <c r="G121">
        <v>552</v>
      </c>
      <c r="J121">
        <v>2</v>
      </c>
      <c r="K121" t="s">
        <v>7645</v>
      </c>
      <c r="L121" t="s">
        <v>122</v>
      </c>
      <c r="M121" t="s">
        <v>78</v>
      </c>
      <c r="U121">
        <v>8</v>
      </c>
      <c r="V121" s="214">
        <v>46372</v>
      </c>
    </row>
    <row r="122" spans="1:22">
      <c r="A122" t="s">
        <v>7696</v>
      </c>
      <c r="D122" t="s">
        <v>7070</v>
      </c>
      <c r="E122" t="s">
        <v>7072</v>
      </c>
      <c r="G122">
        <v>108</v>
      </c>
      <c r="J122">
        <v>0.83076923076923082</v>
      </c>
      <c r="K122" t="s">
        <v>7688</v>
      </c>
      <c r="L122" t="s">
        <v>122</v>
      </c>
      <c r="M122" t="s">
        <v>78</v>
      </c>
    </row>
    <row r="123" spans="1:22">
      <c r="A123" t="s">
        <v>7694</v>
      </c>
      <c r="D123" t="s">
        <v>7094</v>
      </c>
      <c r="E123" t="s">
        <v>7096</v>
      </c>
      <c r="G123">
        <v>119</v>
      </c>
      <c r="J123">
        <v>0.91538461538461535</v>
      </c>
      <c r="K123" t="s">
        <v>7688</v>
      </c>
      <c r="L123" t="s">
        <v>122</v>
      </c>
      <c r="M123" t="s">
        <v>105</v>
      </c>
      <c r="U123">
        <v>7</v>
      </c>
      <c r="V123" s="214">
        <v>6</v>
      </c>
    </row>
    <row r="124" spans="1:22">
      <c r="A124" t="s">
        <v>7693</v>
      </c>
      <c r="D124" t="s">
        <v>7091</v>
      </c>
      <c r="E124" t="s">
        <v>7092</v>
      </c>
      <c r="G124">
        <v>1</v>
      </c>
      <c r="J124">
        <v>7.6923076923076927E-3</v>
      </c>
      <c r="K124" t="s">
        <v>7688</v>
      </c>
      <c r="L124" t="s">
        <v>122</v>
      </c>
      <c r="M124" t="s">
        <v>105</v>
      </c>
      <c r="U124">
        <v>7</v>
      </c>
      <c r="V124" s="214">
        <v>6</v>
      </c>
    </row>
    <row r="125" spans="1:22">
      <c r="A125" t="s">
        <v>7692</v>
      </c>
      <c r="D125" t="s">
        <v>7091</v>
      </c>
      <c r="E125" t="s">
        <v>7092</v>
      </c>
      <c r="G125">
        <v>29</v>
      </c>
      <c r="J125">
        <v>0.22307692307692309</v>
      </c>
      <c r="K125" t="s">
        <v>7688</v>
      </c>
      <c r="L125" t="s">
        <v>122</v>
      </c>
      <c r="M125" t="s">
        <v>105</v>
      </c>
      <c r="U125">
        <v>7</v>
      </c>
      <c r="V125" s="214">
        <v>6</v>
      </c>
    </row>
    <row r="126" spans="1:22">
      <c r="A126" t="s">
        <v>7691</v>
      </c>
      <c r="D126" t="s">
        <v>7082</v>
      </c>
      <c r="E126" t="s">
        <v>7084</v>
      </c>
      <c r="G126">
        <v>10</v>
      </c>
      <c r="J126">
        <v>7.6923076923076927E-2</v>
      </c>
      <c r="K126" t="s">
        <v>7688</v>
      </c>
      <c r="L126" t="s">
        <v>122</v>
      </c>
      <c r="M126" t="s">
        <v>105</v>
      </c>
      <c r="U126">
        <v>7</v>
      </c>
      <c r="V126" s="214">
        <v>6</v>
      </c>
    </row>
    <row r="127" spans="1:22">
      <c r="A127" t="s">
        <v>7695</v>
      </c>
      <c r="D127" t="s">
        <v>7094</v>
      </c>
      <c r="E127" t="s">
        <v>7096</v>
      </c>
      <c r="G127">
        <v>11</v>
      </c>
      <c r="J127">
        <v>8.461538461538462E-2</v>
      </c>
      <c r="K127" t="s">
        <v>7688</v>
      </c>
      <c r="L127" t="s">
        <v>122</v>
      </c>
      <c r="M127" t="s">
        <v>105</v>
      </c>
      <c r="U127">
        <v>7</v>
      </c>
      <c r="V127" s="214">
        <v>6</v>
      </c>
    </row>
    <row r="128" spans="1:22">
      <c r="A128" t="s">
        <v>7689</v>
      </c>
      <c r="D128" t="s">
        <v>7116</v>
      </c>
      <c r="E128" t="s">
        <v>7117</v>
      </c>
      <c r="G128">
        <v>1</v>
      </c>
      <c r="J128">
        <v>7.6923076923076927E-3</v>
      </c>
      <c r="K128" t="s">
        <v>7688</v>
      </c>
      <c r="L128" t="s">
        <v>122</v>
      </c>
      <c r="M128" t="s">
        <v>105</v>
      </c>
      <c r="U128">
        <v>7</v>
      </c>
      <c r="V128" s="214">
        <v>6</v>
      </c>
    </row>
    <row r="129" spans="1:22">
      <c r="A129" t="s">
        <v>7690</v>
      </c>
      <c r="D129" t="s">
        <v>7082</v>
      </c>
      <c r="E129" t="s">
        <v>7084</v>
      </c>
      <c r="G129">
        <v>66</v>
      </c>
      <c r="J129">
        <v>0.50769230769230766</v>
      </c>
      <c r="K129" t="s">
        <v>7688</v>
      </c>
      <c r="L129" t="s">
        <v>122</v>
      </c>
      <c r="M129" t="s">
        <v>105</v>
      </c>
      <c r="U129">
        <v>7</v>
      </c>
      <c r="V129" s="214">
        <v>6</v>
      </c>
    </row>
    <row r="130" spans="1:22">
      <c r="A130" t="s">
        <v>7687</v>
      </c>
      <c r="D130" t="s">
        <v>7116</v>
      </c>
      <c r="E130" t="s">
        <v>7117</v>
      </c>
      <c r="G130">
        <v>23</v>
      </c>
      <c r="J130">
        <v>0.17692307692307693</v>
      </c>
      <c r="K130" t="s">
        <v>7688</v>
      </c>
      <c r="L130" t="s">
        <v>122</v>
      </c>
      <c r="M130" t="s">
        <v>105</v>
      </c>
      <c r="U130">
        <v>7</v>
      </c>
      <c r="V130" s="214">
        <v>6</v>
      </c>
    </row>
    <row r="131" spans="1:22">
      <c r="A131" t="s">
        <v>7646</v>
      </c>
      <c r="B131" t="s">
        <v>65</v>
      </c>
      <c r="D131" t="s">
        <v>7105</v>
      </c>
      <c r="E131" t="s">
        <v>7107</v>
      </c>
      <c r="G131">
        <v>276</v>
      </c>
      <c r="J131">
        <v>1</v>
      </c>
      <c r="K131" t="s">
        <v>7648</v>
      </c>
      <c r="L131" t="s">
        <v>122</v>
      </c>
      <c r="M131" t="s">
        <v>78</v>
      </c>
      <c r="U131">
        <v>8</v>
      </c>
      <c r="V131" s="214">
        <v>46379</v>
      </c>
    </row>
    <row r="132" spans="1:22">
      <c r="A132" t="s">
        <v>7702</v>
      </c>
      <c r="D132" t="s">
        <v>7105</v>
      </c>
      <c r="E132" t="s">
        <v>7107</v>
      </c>
      <c r="G132">
        <v>520</v>
      </c>
      <c r="J132">
        <v>1.8840579710144927</v>
      </c>
      <c r="K132" t="s">
        <v>7698</v>
      </c>
      <c r="L132" t="s">
        <v>122</v>
      </c>
      <c r="M132" t="s">
        <v>78</v>
      </c>
      <c r="U132">
        <v>8</v>
      </c>
      <c r="V132" s="214">
        <v>7</v>
      </c>
    </row>
    <row r="133" spans="1:22">
      <c r="A133" t="s">
        <v>7710</v>
      </c>
      <c r="D133" t="s">
        <v>7091</v>
      </c>
      <c r="E133" t="s">
        <v>7092</v>
      </c>
      <c r="G133">
        <v>78</v>
      </c>
      <c r="J133">
        <v>0.3</v>
      </c>
      <c r="K133" t="s">
        <v>7698</v>
      </c>
      <c r="L133" t="s">
        <v>122</v>
      </c>
      <c r="U133">
        <v>14</v>
      </c>
      <c r="V133" s="214">
        <v>13</v>
      </c>
    </row>
    <row r="134" spans="1:22">
      <c r="A134" t="s">
        <v>7703</v>
      </c>
      <c r="D134" t="s">
        <v>7105</v>
      </c>
      <c r="E134" t="s">
        <v>7107</v>
      </c>
      <c r="G134">
        <v>32</v>
      </c>
      <c r="J134">
        <v>0.11594202898550725</v>
      </c>
      <c r="K134" t="s">
        <v>7698</v>
      </c>
      <c r="L134" t="s">
        <v>122</v>
      </c>
      <c r="M134" t="s">
        <v>78</v>
      </c>
      <c r="U134">
        <v>8</v>
      </c>
      <c r="V134" s="214">
        <v>7</v>
      </c>
    </row>
    <row r="135" spans="1:22">
      <c r="A135" t="s">
        <v>7701</v>
      </c>
      <c r="D135" t="s">
        <v>7094</v>
      </c>
      <c r="E135" t="s">
        <v>7096</v>
      </c>
      <c r="G135">
        <v>130</v>
      </c>
      <c r="J135">
        <v>0.5</v>
      </c>
      <c r="K135" t="s">
        <v>7698</v>
      </c>
      <c r="L135" t="s">
        <v>122</v>
      </c>
      <c r="M135" t="s">
        <v>78</v>
      </c>
      <c r="U135">
        <v>8</v>
      </c>
      <c r="V135" s="214">
        <v>7</v>
      </c>
    </row>
    <row r="136" spans="1:22">
      <c r="A136" t="s">
        <v>7700</v>
      </c>
      <c r="D136" t="s">
        <v>7082</v>
      </c>
      <c r="E136" t="s">
        <v>7084</v>
      </c>
      <c r="G136">
        <v>130</v>
      </c>
      <c r="J136">
        <v>0.5</v>
      </c>
      <c r="K136" t="s">
        <v>7698</v>
      </c>
      <c r="L136" t="s">
        <v>122</v>
      </c>
      <c r="M136" t="s">
        <v>78</v>
      </c>
      <c r="U136">
        <v>8</v>
      </c>
      <c r="V136" s="214">
        <v>7</v>
      </c>
    </row>
    <row r="137" spans="1:22">
      <c r="A137" t="s">
        <v>7699</v>
      </c>
      <c r="D137" t="s">
        <v>7094</v>
      </c>
      <c r="E137" t="s">
        <v>7096</v>
      </c>
      <c r="G137">
        <v>130</v>
      </c>
      <c r="J137">
        <v>0.5</v>
      </c>
      <c r="K137" t="s">
        <v>7698</v>
      </c>
      <c r="L137" t="s">
        <v>122</v>
      </c>
      <c r="M137" t="s">
        <v>78</v>
      </c>
      <c r="U137">
        <v>8</v>
      </c>
      <c r="V137" s="214">
        <v>7</v>
      </c>
    </row>
    <row r="138" spans="1:22">
      <c r="A138" t="s">
        <v>7697</v>
      </c>
      <c r="D138" t="s">
        <v>7082</v>
      </c>
      <c r="E138" t="s">
        <v>7084</v>
      </c>
      <c r="G138">
        <v>130</v>
      </c>
      <c r="J138">
        <v>0.5</v>
      </c>
      <c r="K138" t="s">
        <v>7698</v>
      </c>
      <c r="L138" t="s">
        <v>122</v>
      </c>
      <c r="M138" t="s">
        <v>78</v>
      </c>
      <c r="U138">
        <v>8</v>
      </c>
      <c r="V138" s="214">
        <v>7</v>
      </c>
    </row>
    <row r="139" spans="1:22">
      <c r="A139" t="s">
        <v>7711</v>
      </c>
      <c r="D139" t="s">
        <v>7091</v>
      </c>
      <c r="E139" t="s">
        <v>7092</v>
      </c>
      <c r="G139">
        <v>2</v>
      </c>
      <c r="J139">
        <v>7.6923076923076927E-3</v>
      </c>
      <c r="K139" t="s">
        <v>7698</v>
      </c>
      <c r="L139" t="s">
        <v>122</v>
      </c>
      <c r="U139">
        <v>14</v>
      </c>
      <c r="V139" s="214">
        <v>13</v>
      </c>
    </row>
    <row r="140" spans="1:22">
      <c r="A140" t="s">
        <v>7712</v>
      </c>
      <c r="D140" t="s">
        <v>7094</v>
      </c>
      <c r="E140" t="s">
        <v>7096</v>
      </c>
      <c r="G140">
        <v>96</v>
      </c>
      <c r="J140">
        <v>0.36923076923076925</v>
      </c>
      <c r="K140" t="s">
        <v>7698</v>
      </c>
      <c r="L140" t="s">
        <v>122</v>
      </c>
      <c r="U140">
        <v>14</v>
      </c>
      <c r="V140" s="214">
        <v>13</v>
      </c>
    </row>
    <row r="141" spans="1:22">
      <c r="A141" t="s">
        <v>7713</v>
      </c>
      <c r="D141" t="s">
        <v>7094</v>
      </c>
      <c r="E141" t="s">
        <v>7096</v>
      </c>
      <c r="G141">
        <v>34</v>
      </c>
      <c r="J141">
        <v>0.13076923076923078</v>
      </c>
      <c r="K141" t="s">
        <v>7698</v>
      </c>
      <c r="L141" t="s">
        <v>122</v>
      </c>
      <c r="U141">
        <v>14</v>
      </c>
      <c r="V141" s="214">
        <v>13</v>
      </c>
    </row>
    <row r="142" spans="1:22">
      <c r="A142" t="s">
        <v>7714</v>
      </c>
      <c r="D142" t="s">
        <v>7116</v>
      </c>
      <c r="E142" t="s">
        <v>7117</v>
      </c>
      <c r="G142">
        <v>126</v>
      </c>
      <c r="J142">
        <v>0.48461538461538461</v>
      </c>
      <c r="K142" t="s">
        <v>7698</v>
      </c>
      <c r="L142" t="s">
        <v>122</v>
      </c>
      <c r="U142">
        <v>14</v>
      </c>
      <c r="V142" s="214">
        <v>13</v>
      </c>
    </row>
    <row r="143" spans="1:22">
      <c r="A143" t="s">
        <v>7715</v>
      </c>
      <c r="D143" t="s">
        <v>7116</v>
      </c>
      <c r="E143" t="s">
        <v>7117</v>
      </c>
      <c r="G143">
        <v>4</v>
      </c>
      <c r="J143">
        <v>1.5384615384615385E-2</v>
      </c>
      <c r="K143" t="s">
        <v>7698</v>
      </c>
      <c r="L143" t="s">
        <v>122</v>
      </c>
      <c r="U143">
        <v>14</v>
      </c>
      <c r="V143" s="214">
        <v>13</v>
      </c>
    </row>
    <row r="144" spans="1:22">
      <c r="A144" t="s">
        <v>7716</v>
      </c>
      <c r="D144" t="s">
        <v>7094</v>
      </c>
      <c r="E144" t="s">
        <v>7096</v>
      </c>
      <c r="G144">
        <v>130</v>
      </c>
      <c r="J144">
        <v>0.5</v>
      </c>
      <c r="K144" t="s">
        <v>7698</v>
      </c>
      <c r="L144" t="s">
        <v>122</v>
      </c>
      <c r="U144">
        <v>14</v>
      </c>
      <c r="V144" s="214">
        <v>13</v>
      </c>
    </row>
    <row r="145" spans="1:22">
      <c r="A145" t="s">
        <v>7708</v>
      </c>
      <c r="D145" t="s">
        <v>7082</v>
      </c>
      <c r="E145" t="s">
        <v>7084</v>
      </c>
      <c r="G145">
        <v>22</v>
      </c>
      <c r="J145">
        <v>8.461538461538462E-2</v>
      </c>
      <c r="K145" t="s">
        <v>7698</v>
      </c>
      <c r="L145" t="s">
        <v>122</v>
      </c>
      <c r="U145">
        <v>14</v>
      </c>
      <c r="V145" s="214">
        <v>13</v>
      </c>
    </row>
    <row r="146" spans="1:22">
      <c r="A146" t="s">
        <v>7709</v>
      </c>
      <c r="D146" t="s">
        <v>7082</v>
      </c>
      <c r="E146" t="s">
        <v>7084</v>
      </c>
      <c r="G146">
        <v>28</v>
      </c>
      <c r="J146">
        <v>0.1076923076923077</v>
      </c>
      <c r="K146" t="s">
        <v>7698</v>
      </c>
      <c r="L146" t="s">
        <v>122</v>
      </c>
      <c r="U146">
        <v>14</v>
      </c>
      <c r="V146" s="214">
        <v>13</v>
      </c>
    </row>
    <row r="147" spans="1:22">
      <c r="A147" t="s">
        <v>7719</v>
      </c>
      <c r="D147" t="s">
        <v>7082</v>
      </c>
      <c r="E147" t="s">
        <v>7084</v>
      </c>
      <c r="G147">
        <v>130</v>
      </c>
      <c r="J147">
        <v>0.5</v>
      </c>
      <c r="K147" t="s">
        <v>7706</v>
      </c>
      <c r="L147" t="s">
        <v>122</v>
      </c>
      <c r="U147">
        <v>14</v>
      </c>
      <c r="V147" s="214">
        <v>13</v>
      </c>
    </row>
    <row r="148" spans="1:22">
      <c r="A148" t="s">
        <v>7717</v>
      </c>
      <c r="D148" t="s">
        <v>7082</v>
      </c>
      <c r="E148" t="s">
        <v>7084</v>
      </c>
      <c r="G148">
        <v>130</v>
      </c>
      <c r="J148">
        <v>0.5</v>
      </c>
      <c r="K148" t="s">
        <v>7706</v>
      </c>
      <c r="L148" t="s">
        <v>122</v>
      </c>
      <c r="U148">
        <v>14</v>
      </c>
      <c r="V148" s="214">
        <v>13</v>
      </c>
    </row>
    <row r="149" spans="1:22">
      <c r="A149" t="s">
        <v>7720</v>
      </c>
      <c r="D149" t="s">
        <v>7094</v>
      </c>
      <c r="E149" t="s">
        <v>7096</v>
      </c>
      <c r="G149">
        <v>130</v>
      </c>
      <c r="J149">
        <v>0.5</v>
      </c>
      <c r="K149" t="s">
        <v>7706</v>
      </c>
      <c r="L149" t="s">
        <v>122</v>
      </c>
      <c r="U149">
        <v>14</v>
      </c>
      <c r="V149" s="214">
        <v>13</v>
      </c>
    </row>
    <row r="150" spans="1:22">
      <c r="A150" t="s">
        <v>7704</v>
      </c>
      <c r="D150" t="s">
        <v>7105</v>
      </c>
      <c r="E150" t="s">
        <v>7107</v>
      </c>
      <c r="G150">
        <v>552</v>
      </c>
      <c r="J150">
        <v>2</v>
      </c>
      <c r="K150" t="s">
        <v>7706</v>
      </c>
      <c r="L150" t="s">
        <v>122</v>
      </c>
      <c r="M150" t="s">
        <v>7707</v>
      </c>
      <c r="U150">
        <v>14</v>
      </c>
      <c r="V150" s="214">
        <v>13</v>
      </c>
    </row>
    <row r="151" spans="1:22">
      <c r="A151" t="s">
        <v>7718</v>
      </c>
      <c r="D151" t="s">
        <v>7094</v>
      </c>
      <c r="E151" t="s">
        <v>7096</v>
      </c>
      <c r="G151">
        <v>130</v>
      </c>
      <c r="J151">
        <v>0.5</v>
      </c>
      <c r="K151" t="s">
        <v>7706</v>
      </c>
      <c r="L151" t="s">
        <v>122</v>
      </c>
      <c r="U151">
        <v>14</v>
      </c>
      <c r="V151" s="214">
        <v>13</v>
      </c>
    </row>
    <row r="152" spans="1:22">
      <c r="A152" t="s">
        <v>7724</v>
      </c>
      <c r="D152" t="s">
        <v>7094</v>
      </c>
      <c r="E152" t="s">
        <v>7096</v>
      </c>
      <c r="G152">
        <v>130</v>
      </c>
      <c r="J152">
        <v>0.5</v>
      </c>
      <c r="K152" t="s">
        <v>7673</v>
      </c>
      <c r="L152" t="s">
        <v>122</v>
      </c>
      <c r="U152">
        <v>14</v>
      </c>
      <c r="V152" s="214">
        <v>13</v>
      </c>
    </row>
    <row r="153" spans="1:22">
      <c r="A153" t="s">
        <v>7723</v>
      </c>
      <c r="D153" t="s">
        <v>7082</v>
      </c>
      <c r="E153" t="s">
        <v>7084</v>
      </c>
      <c r="G153">
        <v>130</v>
      </c>
      <c r="J153">
        <v>0.5</v>
      </c>
      <c r="K153" t="s">
        <v>7673</v>
      </c>
      <c r="L153" t="s">
        <v>122</v>
      </c>
      <c r="U153">
        <v>14</v>
      </c>
      <c r="V153" s="214">
        <v>13</v>
      </c>
    </row>
    <row r="154" spans="1:22">
      <c r="A154" t="s">
        <v>7722</v>
      </c>
      <c r="D154" t="s">
        <v>7094</v>
      </c>
      <c r="E154" t="s">
        <v>7096</v>
      </c>
      <c r="G154">
        <v>130</v>
      </c>
      <c r="J154">
        <v>0.5</v>
      </c>
      <c r="K154" t="s">
        <v>7673</v>
      </c>
      <c r="L154" t="s">
        <v>122</v>
      </c>
      <c r="U154">
        <v>14</v>
      </c>
      <c r="V154" s="214">
        <v>13</v>
      </c>
    </row>
    <row r="155" spans="1:22">
      <c r="A155" t="s">
        <v>7721</v>
      </c>
      <c r="D155" t="s">
        <v>7082</v>
      </c>
      <c r="E155" t="s">
        <v>7084</v>
      </c>
      <c r="G155">
        <v>130</v>
      </c>
      <c r="J155">
        <v>0.5</v>
      </c>
      <c r="K155" t="s">
        <v>7673</v>
      </c>
      <c r="L155" t="s">
        <v>122</v>
      </c>
      <c r="U155">
        <v>14</v>
      </c>
      <c r="V155" s="214">
        <v>13</v>
      </c>
    </row>
    <row r="156" spans="1:22">
      <c r="A156" t="s">
        <v>7668</v>
      </c>
      <c r="B156" t="s">
        <v>68</v>
      </c>
      <c r="D156" t="s">
        <v>7670</v>
      </c>
      <c r="E156" t="s">
        <v>7671</v>
      </c>
      <c r="G156">
        <v>84</v>
      </c>
      <c r="J156">
        <v>0.42</v>
      </c>
      <c r="K156" t="s">
        <v>7673</v>
      </c>
      <c r="L156" t="s">
        <v>122</v>
      </c>
      <c r="U156">
        <v>14</v>
      </c>
      <c r="V156" s="214">
        <v>13</v>
      </c>
    </row>
    <row r="157" spans="1:22">
      <c r="A157" t="s">
        <v>7680</v>
      </c>
      <c r="B157" t="s">
        <v>68</v>
      </c>
      <c r="D157" t="s">
        <v>7678</v>
      </c>
      <c r="E157" t="s">
        <v>7679</v>
      </c>
      <c r="G157">
        <v>1</v>
      </c>
      <c r="J157">
        <v>5.0000000000000001E-3</v>
      </c>
      <c r="K157" t="s">
        <v>7673</v>
      </c>
      <c r="L157" t="s">
        <v>122</v>
      </c>
      <c r="U157">
        <v>14</v>
      </c>
      <c r="V157" s="214">
        <v>13</v>
      </c>
    </row>
    <row r="158" spans="1:22">
      <c r="A158" t="s">
        <v>7677</v>
      </c>
      <c r="B158" t="s">
        <v>68</v>
      </c>
      <c r="D158" t="s">
        <v>7678</v>
      </c>
      <c r="E158" t="s">
        <v>7679</v>
      </c>
      <c r="G158">
        <v>99</v>
      </c>
      <c r="J158">
        <v>0.495</v>
      </c>
      <c r="K158" t="s">
        <v>7673</v>
      </c>
      <c r="L158" t="s">
        <v>122</v>
      </c>
      <c r="U158">
        <v>14</v>
      </c>
      <c r="V158" s="214">
        <v>13</v>
      </c>
    </row>
    <row r="159" spans="1:22">
      <c r="A159" t="s">
        <v>7674</v>
      </c>
      <c r="B159" t="s">
        <v>68</v>
      </c>
      <c r="D159" t="s">
        <v>7675</v>
      </c>
      <c r="E159" t="s">
        <v>7676</v>
      </c>
      <c r="G159">
        <v>16</v>
      </c>
      <c r="J159">
        <v>0.08</v>
      </c>
      <c r="K159" t="s">
        <v>7673</v>
      </c>
      <c r="L159" t="s">
        <v>122</v>
      </c>
      <c r="U159">
        <v>14</v>
      </c>
      <c r="V159" s="214">
        <v>13</v>
      </c>
    </row>
    <row r="160" spans="1:22">
      <c r="A160" t="s">
        <v>7733</v>
      </c>
      <c r="D160" t="s">
        <v>7105</v>
      </c>
      <c r="E160" t="s">
        <v>7107</v>
      </c>
      <c r="G160">
        <v>528</v>
      </c>
      <c r="J160">
        <v>1.9130434782608696</v>
      </c>
      <c r="K160" t="s">
        <v>7673</v>
      </c>
      <c r="L160" t="s">
        <v>122</v>
      </c>
      <c r="U160">
        <v>14</v>
      </c>
      <c r="V160" s="214">
        <v>13</v>
      </c>
    </row>
    <row r="161" spans="1:22">
      <c r="A161" t="s">
        <v>7735</v>
      </c>
      <c r="D161" t="s">
        <v>7105</v>
      </c>
      <c r="E161" t="s">
        <v>7107</v>
      </c>
      <c r="G161">
        <v>24</v>
      </c>
      <c r="J161">
        <v>8.6956521739130432E-2</v>
      </c>
      <c r="K161" t="s">
        <v>7673</v>
      </c>
      <c r="L161" t="s">
        <v>122</v>
      </c>
      <c r="U161">
        <v>14</v>
      </c>
      <c r="V161" s="214">
        <v>13</v>
      </c>
    </row>
    <row r="162" spans="1:22">
      <c r="A162" t="s">
        <v>7729</v>
      </c>
      <c r="D162" t="s">
        <v>7094</v>
      </c>
      <c r="E162" t="s">
        <v>7096</v>
      </c>
      <c r="G162">
        <v>130</v>
      </c>
      <c r="J162">
        <v>0.5</v>
      </c>
      <c r="K162" t="s">
        <v>7726</v>
      </c>
      <c r="L162" t="s">
        <v>122</v>
      </c>
      <c r="U162">
        <v>14</v>
      </c>
      <c r="V162" s="214">
        <v>13</v>
      </c>
    </row>
    <row r="163" spans="1:22">
      <c r="A163" t="s">
        <v>7728</v>
      </c>
      <c r="D163" t="s">
        <v>7082</v>
      </c>
      <c r="E163" t="s">
        <v>7084</v>
      </c>
      <c r="G163">
        <v>130</v>
      </c>
      <c r="J163">
        <v>0.5</v>
      </c>
      <c r="K163" t="s">
        <v>7726</v>
      </c>
      <c r="L163" t="s">
        <v>122</v>
      </c>
      <c r="U163">
        <v>14</v>
      </c>
      <c r="V163" s="214">
        <v>13</v>
      </c>
    </row>
    <row r="164" spans="1:22">
      <c r="A164" t="s">
        <v>7736</v>
      </c>
      <c r="D164" t="s">
        <v>7105</v>
      </c>
      <c r="E164" t="s">
        <v>7107</v>
      </c>
      <c r="G164">
        <v>276</v>
      </c>
      <c r="J164">
        <v>1</v>
      </c>
      <c r="K164" t="s">
        <v>7726</v>
      </c>
      <c r="L164" t="s">
        <v>122</v>
      </c>
      <c r="U164">
        <v>14</v>
      </c>
      <c r="V164" s="214">
        <v>13</v>
      </c>
    </row>
    <row r="165" spans="1:22">
      <c r="A165" t="s">
        <v>7725</v>
      </c>
      <c r="D165" t="s">
        <v>7082</v>
      </c>
      <c r="E165" t="s">
        <v>7084</v>
      </c>
      <c r="G165">
        <v>130</v>
      </c>
      <c r="J165">
        <v>0.5</v>
      </c>
      <c r="K165" t="s">
        <v>7726</v>
      </c>
      <c r="L165" t="s">
        <v>122</v>
      </c>
      <c r="U165">
        <v>14</v>
      </c>
      <c r="V165" s="214">
        <v>13</v>
      </c>
    </row>
    <row r="166" spans="1:22">
      <c r="A166" t="s">
        <v>7727</v>
      </c>
      <c r="D166" t="s">
        <v>7094</v>
      </c>
      <c r="E166" t="s">
        <v>7096</v>
      </c>
      <c r="G166">
        <v>130</v>
      </c>
      <c r="J166">
        <v>0.5</v>
      </c>
      <c r="K166" t="s">
        <v>7726</v>
      </c>
      <c r="L166" t="s">
        <v>122</v>
      </c>
      <c r="U166">
        <v>14</v>
      </c>
      <c r="V166" s="214">
        <v>13</v>
      </c>
    </row>
    <row r="167" spans="1:22">
      <c r="A167" t="s">
        <v>7730</v>
      </c>
      <c r="D167" t="s">
        <v>7082</v>
      </c>
      <c r="E167" t="s">
        <v>7084</v>
      </c>
      <c r="G167">
        <v>130</v>
      </c>
      <c r="J167">
        <v>0.5</v>
      </c>
      <c r="K167" t="s">
        <v>7731</v>
      </c>
      <c r="L167" t="s">
        <v>122</v>
      </c>
      <c r="U167">
        <v>14</v>
      </c>
      <c r="V167" s="214">
        <v>13</v>
      </c>
    </row>
    <row r="168" spans="1:22">
      <c r="A168" t="s">
        <v>7732</v>
      </c>
      <c r="D168" t="s">
        <v>7094</v>
      </c>
      <c r="E168" t="s">
        <v>7096</v>
      </c>
      <c r="G168">
        <v>130</v>
      </c>
      <c r="J168">
        <v>0.5</v>
      </c>
      <c r="K168" t="s">
        <v>7731</v>
      </c>
      <c r="L168" t="s">
        <v>122</v>
      </c>
      <c r="U168">
        <v>14</v>
      </c>
      <c r="V168" s="214">
        <v>13</v>
      </c>
    </row>
    <row r="169" spans="1:22">
      <c r="A169" t="s">
        <v>7536</v>
      </c>
      <c r="B169" t="s">
        <v>65</v>
      </c>
      <c r="D169" t="s">
        <v>7105</v>
      </c>
      <c r="E169" t="s">
        <v>7107</v>
      </c>
      <c r="G169">
        <v>552</v>
      </c>
      <c r="J169">
        <v>2</v>
      </c>
      <c r="K169" t="s">
        <v>2467</v>
      </c>
      <c r="L169" t="s">
        <v>123</v>
      </c>
      <c r="M169" t="s">
        <v>78</v>
      </c>
      <c r="Q169" s="214">
        <v>46323</v>
      </c>
      <c r="U169">
        <v>8</v>
      </c>
      <c r="V169" s="214">
        <v>46345</v>
      </c>
    </row>
    <row r="170" spans="1:22">
      <c r="A170" t="s">
        <v>7540</v>
      </c>
      <c r="B170" t="s">
        <v>65</v>
      </c>
      <c r="D170" t="s">
        <v>7105</v>
      </c>
      <c r="E170" t="s">
        <v>7107</v>
      </c>
      <c r="G170">
        <v>552</v>
      </c>
      <c r="J170">
        <v>2</v>
      </c>
      <c r="K170" t="s">
        <v>2468</v>
      </c>
      <c r="L170" t="s">
        <v>123</v>
      </c>
      <c r="M170" t="s">
        <v>78</v>
      </c>
      <c r="Q170" s="214">
        <v>46337</v>
      </c>
      <c r="U170">
        <v>8</v>
      </c>
      <c r="V170" s="214">
        <v>46345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10242</v>
      </c>
      <c r="C3" s="156" t="s">
        <v>10243</v>
      </c>
      <c r="E3" t="s">
        <v>10244</v>
      </c>
      <c r="F3" s="167" t="s">
        <v>31</v>
      </c>
      <c r="G3" s="167" t="s">
        <v>33</v>
      </c>
      <c r="H3" s="167" t="s">
        <v>5</v>
      </c>
      <c r="I3" s="168" t="s">
        <v>10245</v>
      </c>
      <c r="J3" s="169" t="s">
        <v>10246</v>
      </c>
      <c r="K3" s="310" t="s">
        <v>10247</v>
      </c>
      <c r="L3" t="s">
        <v>10122</v>
      </c>
      <c r="N3" s="397" t="s">
        <v>7</v>
      </c>
      <c r="O3" s="398" t="s">
        <v>2494</v>
      </c>
      <c r="Q3" t="s">
        <v>7065</v>
      </c>
      <c r="S3" s="400" t="s">
        <v>33</v>
      </c>
      <c r="T3" s="400" t="s">
        <v>10248</v>
      </c>
      <c r="U3" s="400" t="s">
        <v>10249</v>
      </c>
    </row>
    <row r="4" spans="2:23" ht="15" customHeight="1">
      <c r="B4" t="s">
        <v>10250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42">
        <f>LT_REF[[#This Row],[in Days]]/7</f>
        <v>8</v>
      </c>
      <c r="K4">
        <v>7</v>
      </c>
      <c r="N4" t="s">
        <v>67</v>
      </c>
      <c r="O4" t="s">
        <v>2515</v>
      </c>
      <c r="Q4" t="s">
        <v>402</v>
      </c>
      <c r="S4" t="s">
        <v>105</v>
      </c>
      <c r="T4" t="s">
        <v>109</v>
      </c>
      <c r="U4" t="s">
        <v>10251</v>
      </c>
      <c r="W4" s="228" t="s">
        <v>68</v>
      </c>
    </row>
    <row r="5" spans="2:23" ht="15" customHeight="1">
      <c r="B5" t="s">
        <v>10252</v>
      </c>
      <c r="C5" s="46">
        <v>46031</v>
      </c>
      <c r="E5" t="s">
        <v>10253</v>
      </c>
      <c r="F5" t="s">
        <v>77</v>
      </c>
      <c r="G5" t="s">
        <v>456</v>
      </c>
      <c r="H5" t="s">
        <v>450</v>
      </c>
      <c r="I5">
        <f>I4+14</f>
        <v>70</v>
      </c>
      <c r="J5" s="1142">
        <f>LT_REF[[#This Row],[in Days]]/7</f>
        <v>10</v>
      </c>
      <c r="K5">
        <v>7</v>
      </c>
      <c r="N5" t="s">
        <v>311</v>
      </c>
      <c r="O5" t="s">
        <v>2538</v>
      </c>
      <c r="Q5" t="s">
        <v>146</v>
      </c>
      <c r="S5" t="s">
        <v>78</v>
      </c>
      <c r="T5" t="s">
        <v>86</v>
      </c>
      <c r="U5" t="s">
        <v>10120</v>
      </c>
      <c r="W5" s="228" t="s">
        <v>10254</v>
      </c>
    </row>
    <row r="6" spans="2:23" ht="15" customHeight="1">
      <c r="B6" t="s">
        <v>10255</v>
      </c>
      <c r="C6" s="46">
        <v>46038</v>
      </c>
      <c r="E6" t="str">
        <f>LT_REF[[#This Row],[PORT OF LOADING]]&amp;LT_REF[[#This Row],[PORT DESTINATION]]</f>
        <v>NingboFELIXSTOWE</v>
      </c>
      <c r="F6" t="s">
        <v>5992</v>
      </c>
      <c r="G6" t="s">
        <v>456</v>
      </c>
      <c r="H6" t="s">
        <v>450</v>
      </c>
      <c r="I6">
        <f>I4</f>
        <v>56</v>
      </c>
      <c r="J6" s="1142">
        <f>LT_REF[[#This Row],[in Days]]/7</f>
        <v>8</v>
      </c>
      <c r="K6">
        <v>7</v>
      </c>
      <c r="N6" t="s">
        <v>451</v>
      </c>
      <c r="O6" t="s">
        <v>2872</v>
      </c>
      <c r="Q6" s="399" t="s">
        <v>156</v>
      </c>
      <c r="S6" t="s">
        <v>356</v>
      </c>
      <c r="T6" t="s">
        <v>109</v>
      </c>
      <c r="U6" t="s">
        <v>10120</v>
      </c>
      <c r="W6" s="228" t="s">
        <v>10256</v>
      </c>
    </row>
    <row r="7" spans="2:23" ht="15" customHeight="1">
      <c r="B7" t="s">
        <v>10257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42">
        <f>LT_REF[[#This Row],[in Days]]/7</f>
        <v>8.5714285714285712</v>
      </c>
      <c r="K7">
        <v>8</v>
      </c>
      <c r="N7" t="s">
        <v>115</v>
      </c>
      <c r="O7" t="s">
        <v>2523</v>
      </c>
      <c r="Q7" t="s">
        <v>10258</v>
      </c>
      <c r="S7" t="s">
        <v>314</v>
      </c>
      <c r="T7" t="s">
        <v>86</v>
      </c>
      <c r="U7" t="s">
        <v>10078</v>
      </c>
      <c r="W7" s="228" t="s">
        <v>10259</v>
      </c>
    </row>
    <row r="8" spans="2:23" ht="15" customHeight="1">
      <c r="B8" t="s">
        <v>10260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42">
        <f>LT_REF[[#This Row],[in Days]]/7</f>
        <v>10.571428571428571</v>
      </c>
      <c r="K8">
        <v>8</v>
      </c>
      <c r="N8" t="s">
        <v>941</v>
      </c>
      <c r="O8" t="s">
        <v>10261</v>
      </c>
      <c r="Q8" t="s">
        <v>10262</v>
      </c>
      <c r="S8" t="s">
        <v>1561</v>
      </c>
      <c r="T8" t="s">
        <v>86</v>
      </c>
      <c r="U8" t="s">
        <v>10078</v>
      </c>
      <c r="W8" s="228" t="s">
        <v>10263</v>
      </c>
    </row>
    <row r="9" spans="2:23" ht="15" customHeight="1">
      <c r="B9" t="s">
        <v>10264</v>
      </c>
      <c r="C9" s="46">
        <v>46059</v>
      </c>
      <c r="E9" t="str">
        <f>LT_REF[[#This Row],[PORT OF LOADING]]&amp;LT_REF[[#This Row],[PORT DESTINATION]]</f>
        <v>NingboFOS SUR MER</v>
      </c>
      <c r="F9" t="s">
        <v>5992</v>
      </c>
      <c r="G9" t="s">
        <v>78</v>
      </c>
      <c r="H9" t="s">
        <v>65</v>
      </c>
      <c r="I9">
        <f>I7</f>
        <v>60</v>
      </c>
      <c r="J9" s="114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10265</v>
      </c>
      <c r="W9" s="228"/>
    </row>
    <row r="10" spans="2:23" ht="15" customHeight="1">
      <c r="B10" t="s">
        <v>10266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42">
        <f>LT_REF[[#This Row],[in Days]]/7</f>
        <v>8.5714285714285712</v>
      </c>
      <c r="K10">
        <v>10</v>
      </c>
      <c r="L10" s="259"/>
      <c r="N10" t="s">
        <v>2712</v>
      </c>
      <c r="O10" t="s">
        <v>2707</v>
      </c>
      <c r="Q10" t="s">
        <v>68</v>
      </c>
    </row>
    <row r="11" spans="2:23" ht="15" customHeight="1">
      <c r="B11" t="s">
        <v>10267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42">
        <f>LT_REF[[#This Row],[in Days]]/7</f>
        <v>10.571428571428571</v>
      </c>
      <c r="K11">
        <v>10</v>
      </c>
      <c r="N11" t="s">
        <v>4347</v>
      </c>
      <c r="O11" t="s">
        <v>2530</v>
      </c>
      <c r="S11" t="s">
        <v>10268</v>
      </c>
      <c r="T11" t="s">
        <v>86</v>
      </c>
      <c r="U11" t="s">
        <v>10269</v>
      </c>
    </row>
    <row r="12" spans="2:23" ht="15" customHeight="1">
      <c r="B12" t="s">
        <v>10270</v>
      </c>
      <c r="C12" s="46">
        <v>46080</v>
      </c>
      <c r="E12" t="str">
        <f>LT_REF[[#This Row],[PORT OF LOADING]]&amp;LT_REF[[#This Row],[PORT DESTINATION]]</f>
        <v>NingboGENOA</v>
      </c>
      <c r="F12" t="s">
        <v>5992</v>
      </c>
      <c r="G12" t="s">
        <v>314</v>
      </c>
      <c r="H12" t="s">
        <v>310</v>
      </c>
      <c r="I12">
        <f>I10</f>
        <v>60</v>
      </c>
      <c r="J12" s="1142">
        <f>LT_REF[[#This Row],[in Days]]/7</f>
        <v>8.5714285714285712</v>
      </c>
      <c r="K12">
        <v>10</v>
      </c>
      <c r="N12" t="s">
        <v>147</v>
      </c>
      <c r="O12" t="s">
        <v>2707</v>
      </c>
      <c r="S12" t="s">
        <v>888</v>
      </c>
      <c r="T12" t="s">
        <v>109</v>
      </c>
      <c r="U12" t="s">
        <v>10271</v>
      </c>
    </row>
    <row r="13" spans="2:23" ht="15" customHeight="1">
      <c r="B13" t="s">
        <v>9218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42">
        <f>LT_REF[[#This Row],[in Days]]/7</f>
        <v>8.5714285714285712</v>
      </c>
      <c r="K13">
        <v>10</v>
      </c>
      <c r="N13" t="s">
        <v>1080</v>
      </c>
      <c r="O13" t="s">
        <v>2760</v>
      </c>
      <c r="S13" t="s">
        <v>2301</v>
      </c>
      <c r="T13" t="s">
        <v>109</v>
      </c>
      <c r="U13" t="s">
        <v>10272</v>
      </c>
    </row>
    <row r="14" spans="2:23" ht="15" customHeight="1">
      <c r="B14" t="s">
        <v>10273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42">
        <f>LT_REF[[#This Row],[in Days]]/7</f>
        <v>10.571428571428571</v>
      </c>
      <c r="K14">
        <v>10</v>
      </c>
      <c r="N14" t="s">
        <v>881</v>
      </c>
      <c r="O14" t="s">
        <v>2530</v>
      </c>
      <c r="S14" t="s">
        <v>159</v>
      </c>
      <c r="T14" t="s">
        <v>109</v>
      </c>
      <c r="U14" t="s">
        <v>10274</v>
      </c>
    </row>
    <row r="15" spans="2:23" ht="15" customHeight="1">
      <c r="B15" t="s">
        <v>9243</v>
      </c>
      <c r="C15" s="46">
        <v>46101</v>
      </c>
      <c r="E15" t="str">
        <f>LT_REF[[#This Row],[PORT OF LOADING]]&amp;LT_REF[[#This Row],[PORT DESTINATION]]</f>
        <v>NingboNAPLES</v>
      </c>
      <c r="F15" t="s">
        <v>5992</v>
      </c>
      <c r="G15" t="s">
        <v>1561</v>
      </c>
      <c r="H15" t="s">
        <v>310</v>
      </c>
      <c r="I15">
        <f>I13</f>
        <v>60</v>
      </c>
      <c r="J15" s="1142">
        <f>LT_REF[[#This Row],[in Days]]/7</f>
        <v>8.5714285714285712</v>
      </c>
      <c r="K15">
        <v>10</v>
      </c>
      <c r="N15" t="s">
        <v>10275</v>
      </c>
      <c r="O15" t="s">
        <v>2530</v>
      </c>
      <c r="S15" t="s">
        <v>532</v>
      </c>
      <c r="T15" t="s">
        <v>109</v>
      </c>
      <c r="U15" t="s">
        <v>10276</v>
      </c>
    </row>
    <row r="16" spans="2:23" ht="15" customHeight="1">
      <c r="B16" t="s">
        <v>7275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42">
        <f>LT_REF[[#This Row],[in Days]]/7</f>
        <v>8</v>
      </c>
      <c r="K16">
        <v>7</v>
      </c>
      <c r="N16" t="s">
        <v>538</v>
      </c>
      <c r="O16" t="s">
        <v>2872</v>
      </c>
      <c r="S16" t="s">
        <v>1084</v>
      </c>
      <c r="T16" t="s">
        <v>109</v>
      </c>
      <c r="U16" t="s">
        <v>10277</v>
      </c>
    </row>
    <row r="17" spans="2:21" ht="15" customHeight="1">
      <c r="B17" t="s">
        <v>10278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42">
        <f>LT_REF[[#This Row],[in Days]]/7</f>
        <v>11</v>
      </c>
      <c r="K17">
        <v>7</v>
      </c>
      <c r="N17" t="s">
        <v>593</v>
      </c>
      <c r="O17" t="s">
        <v>2569</v>
      </c>
      <c r="S17" t="s">
        <v>541</v>
      </c>
      <c r="T17" t="s">
        <v>109</v>
      </c>
      <c r="U17" t="s">
        <v>10279</v>
      </c>
    </row>
    <row r="18" spans="2:21" ht="15" customHeight="1">
      <c r="B18" t="s">
        <v>10280</v>
      </c>
      <c r="C18" s="46">
        <v>46122</v>
      </c>
      <c r="E18" t="str">
        <f>LT_REF[[#This Row],[PORT OF LOADING]]&amp;LT_REF[[#This Row],[PORT DESTINATION]]</f>
        <v>NingboROTTERDAM</v>
      </c>
      <c r="F18" t="s">
        <v>5992</v>
      </c>
      <c r="G18" t="s">
        <v>105</v>
      </c>
      <c r="H18" t="s">
        <v>100</v>
      </c>
      <c r="I18">
        <f>I16</f>
        <v>56</v>
      </c>
      <c r="J18" s="1142">
        <f>LT_REF[[#This Row],[in Days]]/7</f>
        <v>8</v>
      </c>
      <c r="K18">
        <v>7</v>
      </c>
      <c r="N18" t="s">
        <v>526</v>
      </c>
      <c r="O18" t="s">
        <v>2810</v>
      </c>
      <c r="S18" t="s">
        <v>456</v>
      </c>
      <c r="T18" t="s">
        <v>109</v>
      </c>
      <c r="U18" t="s">
        <v>10272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42">
        <f>LT_REF[[#This Row],[in Days]]/7</f>
        <v>8</v>
      </c>
      <c r="K19">
        <v>9</v>
      </c>
      <c r="N19" t="s">
        <v>670</v>
      </c>
      <c r="O19" t="s">
        <v>2773</v>
      </c>
      <c r="S19" t="s">
        <v>10281</v>
      </c>
      <c r="T19" t="s">
        <v>86</v>
      </c>
      <c r="U19" t="s">
        <v>10269</v>
      </c>
    </row>
    <row r="20" spans="2:21" ht="15" customHeight="1">
      <c r="B20" t="s">
        <v>10282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42">
        <f>LT_REF[[#This Row],[in Days]]/7</f>
        <v>10</v>
      </c>
      <c r="K20">
        <v>9</v>
      </c>
      <c r="N20" t="s">
        <v>1912</v>
      </c>
      <c r="O20" t="s">
        <v>2569</v>
      </c>
      <c r="S20" t="s">
        <v>6964</v>
      </c>
      <c r="T20" t="s">
        <v>68</v>
      </c>
      <c r="U20" t="s">
        <v>68</v>
      </c>
    </row>
    <row r="21" spans="2:21" ht="15" customHeight="1">
      <c r="B21" t="s">
        <v>7248</v>
      </c>
      <c r="C21" s="46">
        <v>46143</v>
      </c>
      <c r="E21" t="str">
        <f>LT_REF[[#This Row],[PORT OF LOADING]]&amp;LT_REF[[#This Row],[PORT DESTINATION]]</f>
        <v>NingboVALENCIA</v>
      </c>
      <c r="F21" t="s">
        <v>5992</v>
      </c>
      <c r="G21" t="s">
        <v>124</v>
      </c>
      <c r="H21" t="s">
        <v>114</v>
      </c>
      <c r="I21">
        <f>I19</f>
        <v>56</v>
      </c>
      <c r="J21" s="1142">
        <f>LT_REF[[#This Row],[in Days]]/7</f>
        <v>8</v>
      </c>
      <c r="K21">
        <v>9</v>
      </c>
      <c r="N21" t="s">
        <v>157</v>
      </c>
      <c r="O21" t="s">
        <v>2530</v>
      </c>
      <c r="S21" t="s">
        <v>68</v>
      </c>
      <c r="T21" t="s">
        <v>68</v>
      </c>
      <c r="U21" t="s">
        <v>68</v>
      </c>
    </row>
    <row r="22" spans="2:21" ht="15" customHeight="1">
      <c r="B22" t="s">
        <v>7254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42">
        <f>LT_REF[[#This Row],[in Days]]/7</f>
        <v>8</v>
      </c>
      <c r="K22">
        <v>10</v>
      </c>
      <c r="N22" t="s">
        <v>1449</v>
      </c>
      <c r="O22" t="s">
        <v>2773</v>
      </c>
      <c r="S22" t="s">
        <v>5782</v>
      </c>
      <c r="T22" t="s">
        <v>68</v>
      </c>
      <c r="U22" t="s">
        <v>10283</v>
      </c>
    </row>
    <row r="23" spans="2:21" ht="15" customHeight="1">
      <c r="B23" t="s">
        <v>7295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42">
        <f>LT_REF[[#This Row],[in Days]]/7</f>
        <v>10</v>
      </c>
      <c r="K23">
        <v>10</v>
      </c>
      <c r="N23" t="s">
        <v>2394</v>
      </c>
      <c r="O23" t="s">
        <v>2530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5992</v>
      </c>
      <c r="G24" t="s">
        <v>356</v>
      </c>
      <c r="H24" t="s">
        <v>65</v>
      </c>
      <c r="I24">
        <f>I22</f>
        <v>56</v>
      </c>
      <c r="J24" s="1142">
        <f>LT_REF[[#This Row],[in Days]]/7</f>
        <v>8</v>
      </c>
      <c r="K24">
        <v>10</v>
      </c>
      <c r="N24" t="s">
        <v>1029</v>
      </c>
      <c r="O24" t="s">
        <v>2530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42">
        <f>LT_REF[[#This Row],[in Days]]/7</f>
        <v>8</v>
      </c>
      <c r="K25">
        <v>0</v>
      </c>
      <c r="N25" t="s">
        <v>10284</v>
      </c>
      <c r="O25" t="s">
        <v>2569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42">
        <f>LT_REF[[#This Row],[in Days]]/7</f>
        <v>10</v>
      </c>
      <c r="K26">
        <v>0</v>
      </c>
      <c r="N26" t="s">
        <v>1156</v>
      </c>
      <c r="O26" t="s">
        <v>2707</v>
      </c>
      <c r="Q26" s="1404"/>
      <c r="S26" t="s">
        <v>5024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5992</v>
      </c>
      <c r="G27" t="s">
        <v>541</v>
      </c>
      <c r="I27">
        <f>I25</f>
        <v>56</v>
      </c>
      <c r="J27" s="1142">
        <f>LT_REF[[#This Row],[in Days]]/7</f>
        <v>8</v>
      </c>
      <c r="K27">
        <v>0</v>
      </c>
      <c r="L27">
        <v>7</v>
      </c>
      <c r="N27" t="s">
        <v>1381</v>
      </c>
      <c r="O27" t="s">
        <v>2872</v>
      </c>
      <c r="S27" t="s">
        <v>4776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42">
        <f>LT_REF[[#This Row],[in Days]]/7</f>
        <v>9</v>
      </c>
      <c r="K28">
        <v>0</v>
      </c>
      <c r="N28" t="s">
        <v>1280</v>
      </c>
      <c r="O28" t="s">
        <v>2872</v>
      </c>
      <c r="S28" t="s">
        <v>5772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42">
        <f>LT_REF[[#This Row],[in Days]]/7</f>
        <v>11</v>
      </c>
      <c r="K29">
        <v>0</v>
      </c>
      <c r="N29" t="s">
        <v>1275</v>
      </c>
      <c r="O29" t="s">
        <v>2872</v>
      </c>
      <c r="S29" s="1404" t="s">
        <v>6960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42">
        <f>LT_REF[[#This Row],[in Days]]/7</f>
        <v>8</v>
      </c>
      <c r="K30">
        <v>0</v>
      </c>
      <c r="L30" t="s">
        <v>10285</v>
      </c>
      <c r="N30" t="s">
        <v>1269</v>
      </c>
      <c r="O30" t="s">
        <v>2872</v>
      </c>
      <c r="S30" s="1008" t="s">
        <v>6492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42">
        <f>LT_REF[[#This Row],[in Days]]/7</f>
        <v>10</v>
      </c>
      <c r="K31">
        <v>0</v>
      </c>
      <c r="N31" t="s">
        <v>5262</v>
      </c>
      <c r="O31" t="s">
        <v>2530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42">
        <f>LT_REF[[#This Row],[in Days]]/7</f>
        <v>9</v>
      </c>
      <c r="K32">
        <v>0</v>
      </c>
      <c r="L32" t="s">
        <v>10286</v>
      </c>
      <c r="N32" t="s">
        <v>4959</v>
      </c>
      <c r="O32" t="s">
        <v>2515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42">
        <f>LT_REF[[#This Row],[in Days]]/7</f>
        <v>11</v>
      </c>
      <c r="K33">
        <v>0</v>
      </c>
      <c r="N33" t="s">
        <v>10287</v>
      </c>
      <c r="O33" t="s">
        <v>2515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5992</v>
      </c>
      <c r="G34" t="s">
        <v>888</v>
      </c>
      <c r="I34">
        <f>I32</f>
        <v>63</v>
      </c>
      <c r="J34" s="1142">
        <f>LT_REF[[#This Row],[in Days]]/7</f>
        <v>9</v>
      </c>
      <c r="K34">
        <f>K32</f>
        <v>0</v>
      </c>
      <c r="N34" t="s">
        <v>5778</v>
      </c>
      <c r="O34" t="s">
        <v>2530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42">
        <f>LT_REF[[#This Row],[in Days]]/7</f>
        <v>9</v>
      </c>
      <c r="K35">
        <v>0</v>
      </c>
      <c r="N35" t="s">
        <v>6279</v>
      </c>
      <c r="O35" t="s">
        <v>2872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42">
        <f>LT_REF[[#This Row],[in Days]]/7</f>
        <v>11</v>
      </c>
      <c r="K36">
        <v>0</v>
      </c>
      <c r="N36" t="s">
        <v>6489</v>
      </c>
      <c r="O36" t="s">
        <v>10288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42">
        <f>LT_REF[[#This Row],[in Days]]/7</f>
        <v>8</v>
      </c>
      <c r="K37">
        <v>0</v>
      </c>
      <c r="L37" t="s">
        <v>10289</v>
      </c>
      <c r="N37" t="s">
        <v>6716</v>
      </c>
      <c r="O37" t="s">
        <v>10288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42">
        <f>LT_REF[[#This Row],[in Days]]/7</f>
        <v>9</v>
      </c>
      <c r="K38">
        <v>7</v>
      </c>
      <c r="N38" t="s">
        <v>6959</v>
      </c>
      <c r="O38" t="s">
        <v>10261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42">
        <f>LT_REF[[#This Row],[in Days]]/7</f>
        <v>2</v>
      </c>
      <c r="K39">
        <v>0</v>
      </c>
      <c r="O39" t="s">
        <v>10261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42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42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407" t="s">
        <v>7595</v>
      </c>
      <c r="H42" t="s">
        <v>450</v>
      </c>
      <c r="I42" s="1408"/>
      <c r="J42" s="1409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42">
        <f>LT_REF[[#This Row],[in Days]]/7</f>
        <v>7</v>
      </c>
      <c r="K43">
        <v>7</v>
      </c>
    </row>
    <row r="44" spans="2:15">
      <c r="B44" t="s">
        <v>6755</v>
      </c>
      <c r="C44" s="46">
        <f t="shared" si="1"/>
        <v>46304</v>
      </c>
      <c r="J44" s="1142"/>
    </row>
    <row r="45" spans="2:15">
      <c r="B45" t="s">
        <v>7000</v>
      </c>
      <c r="C45" s="46">
        <f t="shared" si="1"/>
        <v>46311</v>
      </c>
    </row>
    <row r="46" spans="2:15">
      <c r="B46" t="s">
        <v>7002</v>
      </c>
      <c r="C46" s="46">
        <f t="shared" si="1"/>
        <v>46318</v>
      </c>
    </row>
    <row r="47" spans="2:15">
      <c r="B47" t="s">
        <v>7034</v>
      </c>
      <c r="C47" s="46">
        <f t="shared" si="1"/>
        <v>46325</v>
      </c>
      <c r="H47" s="621"/>
    </row>
    <row r="48" spans="2:15">
      <c r="B48" t="s">
        <v>7032</v>
      </c>
      <c r="C48" s="46">
        <f t="shared" si="1"/>
        <v>46332</v>
      </c>
      <c r="F48" s="1096" t="s">
        <v>7595</v>
      </c>
    </row>
    <row r="49" spans="1:8">
      <c r="B49" t="s">
        <v>7036</v>
      </c>
      <c r="C49" s="46">
        <f t="shared" si="1"/>
        <v>46339</v>
      </c>
      <c r="H49" s="214"/>
    </row>
    <row r="50" spans="1:8">
      <c r="B50" t="s">
        <v>10290</v>
      </c>
      <c r="C50" s="46">
        <f t="shared" si="1"/>
        <v>46346</v>
      </c>
    </row>
    <row r="51" spans="1:8">
      <c r="B51" t="s">
        <v>10291</v>
      </c>
      <c r="C51" s="46">
        <f t="shared" si="1"/>
        <v>46353</v>
      </c>
    </row>
    <row r="52" spans="1:8" ht="14">
      <c r="A52" s="1092"/>
      <c r="B52" t="s">
        <v>10292</v>
      </c>
      <c r="C52" s="46">
        <f t="shared" si="1"/>
        <v>46360</v>
      </c>
    </row>
    <row r="53" spans="1:8">
      <c r="B53" t="s">
        <v>10293</v>
      </c>
      <c r="C53" s="46">
        <f t="shared" si="1"/>
        <v>46367</v>
      </c>
    </row>
    <row r="54" spans="1:8">
      <c r="B54" t="s">
        <v>10294</v>
      </c>
      <c r="C54" s="46">
        <f t="shared" si="1"/>
        <v>46374</v>
      </c>
    </row>
    <row r="69" spans="2:22">
      <c r="V69" t="s">
        <v>10295</v>
      </c>
    </row>
    <row r="70" spans="2:22">
      <c r="V70" t="s">
        <v>10296</v>
      </c>
    </row>
    <row r="71" spans="2:22">
      <c r="U71" t="s">
        <v>114</v>
      </c>
      <c r="V71" t="s">
        <v>10297</v>
      </c>
    </row>
    <row r="72" spans="2:22">
      <c r="U72" t="s">
        <v>310</v>
      </c>
      <c r="V72" t="s">
        <v>10298</v>
      </c>
    </row>
    <row r="73" spans="2:22">
      <c r="B73" s="295"/>
      <c r="U73" t="s">
        <v>100</v>
      </c>
      <c r="V73" t="s">
        <v>10299</v>
      </c>
    </row>
    <row r="74" spans="2:22">
      <c r="B74" s="295"/>
      <c r="U74" t="s">
        <v>65</v>
      </c>
    </row>
    <row r="75" spans="2:22">
      <c r="B75" s="295"/>
      <c r="U75" t="s">
        <v>450</v>
      </c>
    </row>
    <row r="76" spans="2:22">
      <c r="B76" s="295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PV SUPPLY DATA</vt:lpstr>
      <vt:lpstr>ESS SUPPLY DATA</vt:lpstr>
      <vt:lpstr>New Ark data</vt:lpstr>
      <vt:lpstr>Carole - Sales Requests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2026-09-15T14:11:40Z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